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3-24\"/>
    </mc:Choice>
  </mc:AlternateContent>
  <xr:revisionPtr revIDLastSave="0" documentId="13_ncr:1_{F4606A71-40BC-4966-8E61-74CE0055A782}" xr6:coauthVersionLast="36" xr6:coauthVersionMax="47" xr10:uidLastSave="{00000000-0000-0000-0000-000000000000}"/>
  <bookViews>
    <workbookView xWindow="-7635" yWindow="780" windowWidth="15375" windowHeight="7965" xr2:uid="{00000000-000D-0000-FFFF-FFFF00000000}"/>
  </bookViews>
  <sheets>
    <sheet name="C-6" sheetId="1" r:id="rId1"/>
    <sheet name="UG_Program_Ranking_2023" sheetId="7" r:id="rId2"/>
    <sheet name="Low_Productivity_2023" sheetId="8" r:id="rId3"/>
  </sheets>
  <definedNames>
    <definedName name="_xlnm.Print_Area" localSheetId="0">'C-6'!$A$1:$AH$137</definedName>
    <definedName name="_xlnm.Print_Area" localSheetId="2">Low_Productivity_2023!$A$1:$AH$137</definedName>
    <definedName name="_xlnm.Print_Area" localSheetId="1">UG_Program_Ranking_2023!$A$1:$AH$137</definedName>
  </definedNames>
  <calcPr calcId="191029"/>
</workbook>
</file>

<file path=xl/calcChain.xml><?xml version="1.0" encoding="utf-8"?>
<calcChain xmlns="http://schemas.openxmlformats.org/spreadsheetml/2006/main">
  <c r="AE120" i="1" l="1"/>
  <c r="AF120" i="1"/>
  <c r="AG120" i="1"/>
  <c r="AH120" i="1"/>
  <c r="AH115" i="1"/>
  <c r="AG115" i="1" s="1"/>
  <c r="AH16" i="1"/>
  <c r="AG16" i="1"/>
  <c r="AF16" i="1"/>
  <c r="AE16" i="1"/>
  <c r="AH9" i="1"/>
  <c r="AG9" i="1" s="1"/>
  <c r="AF9" i="1"/>
  <c r="AE9" i="1"/>
  <c r="AE115" i="1" l="1"/>
  <c r="AF115" i="1"/>
  <c r="AJ18" i="8"/>
  <c r="AK18" i="8"/>
  <c r="AK69" i="8"/>
  <c r="AJ69" i="8"/>
  <c r="AK68" i="8"/>
  <c r="AJ68" i="8"/>
  <c r="AK67" i="8"/>
  <c r="AJ67" i="8"/>
  <c r="AK66" i="8"/>
  <c r="AJ66" i="8"/>
  <c r="AK65" i="8"/>
  <c r="AJ65" i="8"/>
  <c r="AK62" i="8"/>
  <c r="AJ62" i="8"/>
  <c r="AK61" i="8"/>
  <c r="AJ61" i="8"/>
  <c r="AK60" i="8"/>
  <c r="AJ60" i="8"/>
  <c r="AK59" i="8"/>
  <c r="AJ59" i="8"/>
  <c r="AK58" i="8"/>
  <c r="AJ58" i="8"/>
  <c r="AK57" i="8"/>
  <c r="AJ57" i="8"/>
  <c r="AK56" i="8"/>
  <c r="AJ56" i="8"/>
  <c r="AK55" i="8"/>
  <c r="AJ55" i="8"/>
  <c r="AK54" i="8"/>
  <c r="AJ54" i="8"/>
  <c r="AK51" i="8"/>
  <c r="AJ51" i="8"/>
  <c r="AK50" i="8"/>
  <c r="AJ50" i="8"/>
  <c r="AK49" i="8"/>
  <c r="AJ49" i="8"/>
  <c r="AK48" i="8"/>
  <c r="AJ48" i="8"/>
  <c r="AK47" i="8"/>
  <c r="AJ47" i="8"/>
  <c r="AK46" i="8"/>
  <c r="AJ46" i="8"/>
  <c r="AK45" i="8"/>
  <c r="AJ45" i="8"/>
  <c r="AK44" i="8"/>
  <c r="AJ44" i="8"/>
  <c r="AK43" i="8"/>
  <c r="AJ43" i="8"/>
  <c r="AK42" i="8"/>
  <c r="AJ42" i="8"/>
  <c r="AK41" i="8"/>
  <c r="AJ41" i="8"/>
  <c r="AK40" i="8"/>
  <c r="AJ40" i="8"/>
  <c r="AK36" i="8"/>
  <c r="AJ36" i="8"/>
  <c r="AK35" i="8"/>
  <c r="AJ35" i="8"/>
  <c r="AK34" i="8"/>
  <c r="AJ34" i="8"/>
  <c r="AK33" i="8"/>
  <c r="AJ33" i="8"/>
  <c r="AK32" i="8"/>
  <c r="AJ32" i="8"/>
  <c r="AK31" i="8"/>
  <c r="AJ31" i="8"/>
  <c r="AK30" i="8"/>
  <c r="AJ30" i="8"/>
  <c r="AK29" i="8"/>
  <c r="AJ29" i="8"/>
  <c r="AK28" i="8"/>
  <c r="AJ28" i="8"/>
  <c r="AK27" i="8"/>
  <c r="AJ27" i="8"/>
  <c r="AK26" i="8"/>
  <c r="AJ26" i="8"/>
  <c r="AK25" i="8"/>
  <c r="AJ25" i="8"/>
  <c r="AK24" i="8"/>
  <c r="AJ24" i="8"/>
  <c r="AK23" i="8"/>
  <c r="AJ23" i="8"/>
  <c r="AK22" i="8"/>
  <c r="AJ22" i="8"/>
  <c r="AK21" i="8"/>
  <c r="AJ21" i="8"/>
  <c r="AK20" i="8"/>
  <c r="AJ20" i="8"/>
  <c r="AK19" i="8"/>
  <c r="AJ19" i="8"/>
  <c r="AK15" i="8"/>
  <c r="AK14" i="8"/>
  <c r="AK9" i="8"/>
  <c r="AK10" i="8"/>
  <c r="AK11" i="8"/>
  <c r="AK12" i="8"/>
  <c r="AK8" i="8"/>
  <c r="AJ9" i="8"/>
  <c r="AJ10" i="8"/>
  <c r="AJ11" i="8"/>
  <c r="AJ12" i="8"/>
  <c r="AJ14" i="8"/>
  <c r="AJ15" i="8"/>
  <c r="AJ8" i="8"/>
  <c r="AH124" i="8"/>
  <c r="AG124" i="8" s="1"/>
  <c r="AE124" i="8"/>
  <c r="AD117" i="8"/>
  <c r="AC117" i="8"/>
  <c r="AB117" i="8"/>
  <c r="AB118" i="8" s="1"/>
  <c r="AA117" i="8"/>
  <c r="Z117" i="8"/>
  <c r="Y117" i="8"/>
  <c r="X117" i="8"/>
  <c r="X118" i="8" s="1"/>
  <c r="W117" i="8"/>
  <c r="V117" i="8"/>
  <c r="U117" i="8"/>
  <c r="T117" i="8"/>
  <c r="T118" i="8" s="1"/>
  <c r="S117" i="8"/>
  <c r="R117" i="8"/>
  <c r="Q117" i="8"/>
  <c r="P117" i="8"/>
  <c r="P118" i="8" s="1"/>
  <c r="O117" i="8"/>
  <c r="N117" i="8"/>
  <c r="M117" i="8"/>
  <c r="L117" i="8"/>
  <c r="L118" i="8" s="1"/>
  <c r="K117" i="8"/>
  <c r="J117" i="8"/>
  <c r="I117" i="8"/>
  <c r="H117" i="8"/>
  <c r="H118" i="8" s="1"/>
  <c r="G117" i="8"/>
  <c r="F117" i="8"/>
  <c r="E117" i="8"/>
  <c r="D117" i="8"/>
  <c r="D118" i="8" s="1"/>
  <c r="C117" i="8"/>
  <c r="B117" i="8"/>
  <c r="AD116" i="8"/>
  <c r="AC116" i="8"/>
  <c r="AB116" i="8"/>
  <c r="AH116" i="8" s="1"/>
  <c r="AA116" i="8"/>
  <c r="Z116" i="8"/>
  <c r="Y116" i="8"/>
  <c r="X116" i="8"/>
  <c r="W116" i="8"/>
  <c r="V116" i="8"/>
  <c r="U116" i="8"/>
  <c r="T116" i="8"/>
  <c r="S116" i="8"/>
  <c r="AH115" i="8"/>
  <c r="AD115" i="8"/>
  <c r="AC115" i="8"/>
  <c r="AB115" i="8"/>
  <c r="AA115" i="8"/>
  <c r="Z115" i="8"/>
  <c r="Y115" i="8"/>
  <c r="X115" i="8"/>
  <c r="W115" i="8"/>
  <c r="V115" i="8"/>
  <c r="T115" i="8"/>
  <c r="R115" i="8"/>
  <c r="Q115" i="8"/>
  <c r="P115" i="8"/>
  <c r="O115" i="8"/>
  <c r="N115" i="8"/>
  <c r="M115" i="8"/>
  <c r="L115" i="8"/>
  <c r="J115" i="8"/>
  <c r="I115" i="8"/>
  <c r="H115" i="8"/>
  <c r="G115" i="8"/>
  <c r="F115" i="8"/>
  <c r="E115" i="8"/>
  <c r="D115" i="8"/>
  <c r="C115" i="8"/>
  <c r="B115" i="8"/>
  <c r="AD114" i="8"/>
  <c r="AG114" i="8" s="1"/>
  <c r="AC114" i="8"/>
  <c r="AB114" i="8"/>
  <c r="AA114" i="8"/>
  <c r="Z114" i="8"/>
  <c r="Y114" i="8"/>
  <c r="X114" i="8"/>
  <c r="W114" i="8"/>
  <c r="V114" i="8"/>
  <c r="T114" i="8"/>
  <c r="S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H111" i="8"/>
  <c r="AG111" i="8"/>
  <c r="AF111" i="8"/>
  <c r="AE111" i="8"/>
  <c r="AH110" i="8"/>
  <c r="AG110" i="8"/>
  <c r="AF110" i="8"/>
  <c r="AE110" i="8"/>
  <c r="AH109" i="8"/>
  <c r="AF109" i="8" s="1"/>
  <c r="AH108" i="8"/>
  <c r="AF108" i="8" s="1"/>
  <c r="AH107" i="8"/>
  <c r="AF107" i="8" s="1"/>
  <c r="AH106" i="8"/>
  <c r="AF106" i="8" s="1"/>
  <c r="AH105" i="8"/>
  <c r="AF105" i="8" s="1"/>
  <c r="AH104" i="8"/>
  <c r="AF104" i="8" s="1"/>
  <c r="AH102" i="8"/>
  <c r="AF102" i="8" s="1"/>
  <c r="AD101" i="8"/>
  <c r="AC101" i="8"/>
  <c r="AH101" i="8" s="1"/>
  <c r="AG101" i="8" s="1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H100" i="8"/>
  <c r="AH99" i="8"/>
  <c r="AH98" i="8"/>
  <c r="AD96" i="8"/>
  <c r="AC96" i="8"/>
  <c r="AB96" i="8"/>
  <c r="AA96" i="8"/>
  <c r="Z96" i="8"/>
  <c r="Y96" i="8"/>
  <c r="X96" i="8"/>
  <c r="W96" i="8"/>
  <c r="V96" i="8"/>
  <c r="T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H95" i="8"/>
  <c r="AG95" i="8" s="1"/>
  <c r="AE95" i="8"/>
  <c r="AH94" i="8"/>
  <c r="AG94" i="8" s="1"/>
  <c r="AF94" i="8"/>
  <c r="U94" i="8"/>
  <c r="U115" i="8" s="1"/>
  <c r="S94" i="8"/>
  <c r="S115" i="8" s="1"/>
  <c r="AH93" i="8"/>
  <c r="AG93" i="8"/>
  <c r="AF93" i="8"/>
  <c r="AE93" i="8"/>
  <c r="U93" i="8"/>
  <c r="S93" i="8"/>
  <c r="R93" i="8"/>
  <c r="R114" i="8" s="1"/>
  <c r="AH92" i="8"/>
  <c r="AE92" i="8" s="1"/>
  <c r="AG92" i="8"/>
  <c r="AB90" i="8"/>
  <c r="L90" i="8"/>
  <c r="AH89" i="8"/>
  <c r="AF89" i="8" s="1"/>
  <c r="AG89" i="8"/>
  <c r="AD88" i="8"/>
  <c r="AC88" i="8"/>
  <c r="AB88" i="8"/>
  <c r="AA88" i="8"/>
  <c r="Z88" i="8"/>
  <c r="Y88" i="8"/>
  <c r="Y90" i="8" s="1"/>
  <c r="X88" i="8"/>
  <c r="W88" i="8"/>
  <c r="V88" i="8"/>
  <c r="U88" i="8"/>
  <c r="U90" i="8" s="1"/>
  <c r="T88" i="8"/>
  <c r="S88" i="8"/>
  <c r="R88" i="8"/>
  <c r="Q88" i="8"/>
  <c r="Q90" i="8" s="1"/>
  <c r="P88" i="8"/>
  <c r="P90" i="8" s="1"/>
  <c r="O88" i="8"/>
  <c r="N88" i="8"/>
  <c r="M88" i="8"/>
  <c r="M90" i="8" s="1"/>
  <c r="L88" i="8"/>
  <c r="J88" i="8"/>
  <c r="I88" i="8"/>
  <c r="H88" i="8"/>
  <c r="H90" i="8" s="1"/>
  <c r="G88" i="8"/>
  <c r="F88" i="8"/>
  <c r="E88" i="8"/>
  <c r="D88" i="8"/>
  <c r="D90" i="8" s="1"/>
  <c r="C88" i="8"/>
  <c r="B88" i="8"/>
  <c r="AH87" i="8"/>
  <c r="AH86" i="8"/>
  <c r="K86" i="8"/>
  <c r="AH85" i="8"/>
  <c r="AG85" i="8"/>
  <c r="AF85" i="8"/>
  <c r="AE85" i="8"/>
  <c r="AD83" i="8"/>
  <c r="AC83" i="8"/>
  <c r="AB83" i="8"/>
  <c r="AA83" i="8"/>
  <c r="Z83" i="8"/>
  <c r="Y83" i="8"/>
  <c r="X83" i="8"/>
  <c r="X90" i="8" s="1"/>
  <c r="W83" i="8"/>
  <c r="V83" i="8"/>
  <c r="U83" i="8"/>
  <c r="T83" i="8"/>
  <c r="T90" i="8" s="1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H82" i="8"/>
  <c r="AG82" i="8"/>
  <c r="AF82" i="8"/>
  <c r="AE82" i="8"/>
  <c r="AH81" i="8"/>
  <c r="AE81" i="8" s="1"/>
  <c r="AG81" i="8"/>
  <c r="AD71" i="8"/>
  <c r="AC71" i="8"/>
  <c r="AB71" i="8"/>
  <c r="AA71" i="8"/>
  <c r="Z71" i="8"/>
  <c r="Y71" i="8"/>
  <c r="X71" i="8"/>
  <c r="V71" i="8"/>
  <c r="T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H70" i="8"/>
  <c r="AG70" i="8"/>
  <c r="AF70" i="8"/>
  <c r="AE70" i="8"/>
  <c r="AH69" i="8"/>
  <c r="AH68" i="8"/>
  <c r="AE68" i="8" s="1"/>
  <c r="AH67" i="8"/>
  <c r="AG67" i="8"/>
  <c r="AF67" i="8"/>
  <c r="AE67" i="8"/>
  <c r="W67" i="8"/>
  <c r="U67" i="8"/>
  <c r="R67" i="8"/>
  <c r="AH66" i="8"/>
  <c r="AG66" i="8"/>
  <c r="AF66" i="8"/>
  <c r="AE66" i="8"/>
  <c r="U66" i="8"/>
  <c r="S66" i="8"/>
  <c r="S71" i="8" s="1"/>
  <c r="R66" i="8"/>
  <c r="AH65" i="8"/>
  <c r="W65" i="8"/>
  <c r="U65" i="8"/>
  <c r="U71" i="8" s="1"/>
  <c r="R65" i="8"/>
  <c r="AD63" i="8"/>
  <c r="AC63" i="8"/>
  <c r="AB63" i="8"/>
  <c r="AA63" i="8"/>
  <c r="Z63" i="8"/>
  <c r="Y63" i="8"/>
  <c r="X63" i="8"/>
  <c r="V63" i="8"/>
  <c r="T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H62" i="8"/>
  <c r="U62" i="8"/>
  <c r="S62" i="8"/>
  <c r="R62" i="8"/>
  <c r="AH61" i="8"/>
  <c r="AF61" i="8" s="1"/>
  <c r="U61" i="8"/>
  <c r="S61" i="8"/>
  <c r="R61" i="8"/>
  <c r="AH60" i="8"/>
  <c r="AE60" i="8" s="1"/>
  <c r="AG60" i="8"/>
  <c r="AH59" i="8"/>
  <c r="AE59" i="8" s="1"/>
  <c r="W59" i="8"/>
  <c r="U59" i="8"/>
  <c r="S59" i="8"/>
  <c r="R59" i="8"/>
  <c r="AH58" i="8"/>
  <c r="AE58" i="8" s="1"/>
  <c r="AG58" i="8"/>
  <c r="AF58" i="8"/>
  <c r="W58" i="8"/>
  <c r="U58" i="8"/>
  <c r="S58" i="8"/>
  <c r="R58" i="8"/>
  <c r="AH57" i="8"/>
  <c r="AE57" i="8" s="1"/>
  <c r="AF57" i="8"/>
  <c r="W57" i="8"/>
  <c r="R57" i="8"/>
  <c r="AH56" i="8"/>
  <c r="AH55" i="8"/>
  <c r="AG55" i="8"/>
  <c r="AF55" i="8"/>
  <c r="AE55" i="8"/>
  <c r="S55" i="8"/>
  <c r="AH54" i="8"/>
  <c r="AF54" i="8" s="1"/>
  <c r="AG54" i="8"/>
  <c r="AE54" i="8"/>
  <c r="W54" i="8"/>
  <c r="U54" i="8"/>
  <c r="U63" i="8" s="1"/>
  <c r="S54" i="8"/>
  <c r="AH52" i="8"/>
  <c r="AD52" i="8"/>
  <c r="AC52" i="8"/>
  <c r="AB52" i="8"/>
  <c r="AA52" i="8"/>
  <c r="Z52" i="8"/>
  <c r="Y52" i="8"/>
  <c r="X52" i="8"/>
  <c r="V52" i="8"/>
  <c r="T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H51" i="8"/>
  <c r="AE51" i="8" s="1"/>
  <c r="AF51" i="8"/>
  <c r="AH50" i="8"/>
  <c r="AG50" i="8"/>
  <c r="AF50" i="8"/>
  <c r="AE50" i="8"/>
  <c r="AH49" i="8"/>
  <c r="AE49" i="8" s="1"/>
  <c r="AF49" i="8"/>
  <c r="AH48" i="8"/>
  <c r="AE48" i="8" s="1"/>
  <c r="AF48" i="8"/>
  <c r="W48" i="8"/>
  <c r="U48" i="8"/>
  <c r="S48" i="8"/>
  <c r="R48" i="8"/>
  <c r="AH47" i="8"/>
  <c r="AE47" i="8" s="1"/>
  <c r="AF47" i="8"/>
  <c r="AH46" i="8"/>
  <c r="AE46" i="8" s="1"/>
  <c r="AF46" i="8"/>
  <c r="S46" i="8"/>
  <c r="R46" i="8"/>
  <c r="AH45" i="8"/>
  <c r="AG45" i="8"/>
  <c r="AF45" i="8"/>
  <c r="AE45" i="8"/>
  <c r="AH44" i="8"/>
  <c r="AF44" i="8" s="1"/>
  <c r="W44" i="8"/>
  <c r="W52" i="8" s="1"/>
  <c r="U44" i="8"/>
  <c r="U52" i="8" s="1"/>
  <c r="AH43" i="8"/>
  <c r="AH42" i="8"/>
  <c r="AE42" i="8" s="1"/>
  <c r="AG42" i="8"/>
  <c r="R42" i="8"/>
  <c r="AH41" i="8"/>
  <c r="AF41" i="8" s="1"/>
  <c r="AG41" i="8"/>
  <c r="AH40" i="8"/>
  <c r="AF40" i="8" s="1"/>
  <c r="AG40" i="8"/>
  <c r="S40" i="8"/>
  <c r="R40" i="8"/>
  <c r="AH39" i="8"/>
  <c r="AG39" i="8"/>
  <c r="AF39" i="8"/>
  <c r="AE39" i="8"/>
  <c r="AD38" i="8"/>
  <c r="AC38" i="8"/>
  <c r="AB38" i="8"/>
  <c r="AA38" i="8"/>
  <c r="Z38" i="8"/>
  <c r="Y38" i="8"/>
  <c r="X38" i="8"/>
  <c r="V38" i="8"/>
  <c r="T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H37" i="8"/>
  <c r="AG37" i="8"/>
  <c r="AF37" i="8"/>
  <c r="AE37" i="8"/>
  <c r="AH36" i="8"/>
  <c r="AE36" i="8" s="1"/>
  <c r="AH35" i="8"/>
  <c r="AE35" i="8" s="1"/>
  <c r="AG35" i="8"/>
  <c r="AF35" i="8"/>
  <c r="W35" i="8"/>
  <c r="U35" i="8"/>
  <c r="S35" i="8"/>
  <c r="AH34" i="8"/>
  <c r="AF34" i="8" s="1"/>
  <c r="AG34" i="8"/>
  <c r="AE34" i="8"/>
  <c r="AH33" i="8"/>
  <c r="AF33" i="8" s="1"/>
  <c r="AG33" i="8"/>
  <c r="AE33" i="8"/>
  <c r="W33" i="8"/>
  <c r="U33" i="8"/>
  <c r="S33" i="8"/>
  <c r="AH32" i="8"/>
  <c r="W32" i="8"/>
  <c r="U32" i="8"/>
  <c r="S32" i="8"/>
  <c r="AH31" i="8"/>
  <c r="AF31" i="8" s="1"/>
  <c r="W31" i="8"/>
  <c r="S31" i="8"/>
  <c r="AH30" i="8"/>
  <c r="AG30" i="8" s="1"/>
  <c r="AH29" i="8"/>
  <c r="AG29" i="8"/>
  <c r="AF29" i="8"/>
  <c r="AE29" i="8"/>
  <c r="AH28" i="8"/>
  <c r="AG28" i="8" s="1"/>
  <c r="W28" i="8"/>
  <c r="U28" i="8"/>
  <c r="S28" i="8"/>
  <c r="R28" i="8"/>
  <c r="AH27" i="8"/>
  <c r="AG27" i="8" s="1"/>
  <c r="AH26" i="8"/>
  <c r="AG26" i="8" s="1"/>
  <c r="U26" i="8"/>
  <c r="S26" i="8"/>
  <c r="R26" i="8"/>
  <c r="AH25" i="8"/>
  <c r="AG25" i="8" s="1"/>
  <c r="W25" i="8"/>
  <c r="AH24" i="8"/>
  <c r="AG24" i="8" s="1"/>
  <c r="W24" i="8"/>
  <c r="U24" i="8"/>
  <c r="R24" i="8"/>
  <c r="AH23" i="8"/>
  <c r="AE23" i="8" s="1"/>
  <c r="AG23" i="8"/>
  <c r="AH22" i="8"/>
  <c r="AE22" i="8" s="1"/>
  <c r="W22" i="8"/>
  <c r="U22" i="8"/>
  <c r="S22" i="8"/>
  <c r="AH21" i="8"/>
  <c r="AE21" i="8" s="1"/>
  <c r="AF21" i="8"/>
  <c r="U21" i="8"/>
  <c r="S21" i="8"/>
  <c r="AH20" i="8"/>
  <c r="AG20" i="8" s="1"/>
  <c r="W20" i="8"/>
  <c r="U20" i="8"/>
  <c r="S20" i="8"/>
  <c r="AH19" i="8"/>
  <c r="AE19" i="8" s="1"/>
  <c r="S19" i="8"/>
  <c r="AH18" i="8"/>
  <c r="AG18" i="8" s="1"/>
  <c r="Y16" i="8"/>
  <c r="J16" i="8"/>
  <c r="B16" i="8"/>
  <c r="AH15" i="8"/>
  <c r="AG15" i="8" s="1"/>
  <c r="S15" i="8"/>
  <c r="S16" i="8" s="1"/>
  <c r="AH14" i="8"/>
  <c r="AF14" i="8" s="1"/>
  <c r="AG14" i="8"/>
  <c r="AE14" i="8"/>
  <c r="AD13" i="8"/>
  <c r="AD16" i="8" s="1"/>
  <c r="AC13" i="8"/>
  <c r="AC16" i="8" s="1"/>
  <c r="AB13" i="8"/>
  <c r="AB16" i="8" s="1"/>
  <c r="AA13" i="8"/>
  <c r="AA16" i="8" s="1"/>
  <c r="Z13" i="8"/>
  <c r="Z16" i="8" s="1"/>
  <c r="Y13" i="8"/>
  <c r="X13" i="8"/>
  <c r="X16" i="8" s="1"/>
  <c r="W13" i="8"/>
  <c r="W16" i="8" s="1"/>
  <c r="V13" i="8"/>
  <c r="V16" i="8" s="1"/>
  <c r="T13" i="8"/>
  <c r="T16" i="8" s="1"/>
  <c r="T72" i="8" s="1"/>
  <c r="S13" i="8"/>
  <c r="Q13" i="8"/>
  <c r="Q16" i="8" s="1"/>
  <c r="P13" i="8"/>
  <c r="P16" i="8" s="1"/>
  <c r="P72" i="8" s="1"/>
  <c r="O13" i="8"/>
  <c r="O16" i="8" s="1"/>
  <c r="N13" i="8"/>
  <c r="N16" i="8" s="1"/>
  <c r="M13" i="8"/>
  <c r="M16" i="8" s="1"/>
  <c r="L13" i="8"/>
  <c r="L16" i="8" s="1"/>
  <c r="L72" i="8" s="1"/>
  <c r="K13" i="8"/>
  <c r="K16" i="8" s="1"/>
  <c r="J13" i="8"/>
  <c r="I13" i="8"/>
  <c r="I16" i="8" s="1"/>
  <c r="H13" i="8"/>
  <c r="H16" i="8" s="1"/>
  <c r="H72" i="8" s="1"/>
  <c r="G13" i="8"/>
  <c r="G16" i="8" s="1"/>
  <c r="F13" i="8"/>
  <c r="F16" i="8" s="1"/>
  <c r="E13" i="8"/>
  <c r="E16" i="8" s="1"/>
  <c r="D13" i="8"/>
  <c r="D16" i="8" s="1"/>
  <c r="D72" i="8" s="1"/>
  <c r="C13" i="8"/>
  <c r="C16" i="8" s="1"/>
  <c r="B13" i="8"/>
  <c r="AH12" i="8"/>
  <c r="AE12" i="8" s="1"/>
  <c r="R12" i="8"/>
  <c r="R13" i="8" s="1"/>
  <c r="R16" i="8" s="1"/>
  <c r="AH11" i="8"/>
  <c r="AF11" i="8" s="1"/>
  <c r="AH10" i="8"/>
  <c r="AE10" i="8" s="1"/>
  <c r="AG10" i="8"/>
  <c r="AH9" i="8"/>
  <c r="AE9" i="8" s="1"/>
  <c r="U9" i="8"/>
  <c r="U13" i="8" s="1"/>
  <c r="U16" i="8" s="1"/>
  <c r="AH8" i="8"/>
  <c r="AG8" i="8"/>
  <c r="AF8" i="8"/>
  <c r="AE8" i="8"/>
  <c r="AJ9" i="7"/>
  <c r="AJ10" i="7"/>
  <c r="AJ11" i="7"/>
  <c r="AJ12" i="7"/>
  <c r="AJ14" i="7"/>
  <c r="AJ15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4" i="7"/>
  <c r="AJ55" i="7"/>
  <c r="AJ56" i="7"/>
  <c r="AJ57" i="7"/>
  <c r="AJ58" i="7"/>
  <c r="AJ59" i="7"/>
  <c r="AJ60" i="7"/>
  <c r="AJ61" i="7"/>
  <c r="AJ62" i="7"/>
  <c r="AJ65" i="7"/>
  <c r="AJ66" i="7"/>
  <c r="AJ67" i="7"/>
  <c r="AJ68" i="7"/>
  <c r="AJ69" i="7"/>
  <c r="AJ8" i="7"/>
  <c r="AH124" i="7"/>
  <c r="AG124" i="7" s="1"/>
  <c r="AE124" i="7"/>
  <c r="AD117" i="7"/>
  <c r="AC117" i="7"/>
  <c r="AC118" i="7" s="1"/>
  <c r="AB117" i="7"/>
  <c r="AH117" i="7" s="1"/>
  <c r="AA117" i="7"/>
  <c r="AA118" i="7" s="1"/>
  <c r="Z117" i="7"/>
  <c r="Z118" i="7" s="1"/>
  <c r="Y117" i="7"/>
  <c r="Y118" i="7" s="1"/>
  <c r="X117" i="7"/>
  <c r="W117" i="7"/>
  <c r="W118" i="7" s="1"/>
  <c r="V117" i="7"/>
  <c r="V118" i="7" s="1"/>
  <c r="U117" i="7"/>
  <c r="T117" i="7"/>
  <c r="S117" i="7"/>
  <c r="S118" i="7" s="1"/>
  <c r="R117" i="7"/>
  <c r="Q117" i="7"/>
  <c r="Q118" i="7" s="1"/>
  <c r="P117" i="7"/>
  <c r="O117" i="7"/>
  <c r="O118" i="7" s="1"/>
  <c r="N117" i="7"/>
  <c r="N118" i="7" s="1"/>
  <c r="M117" i="7"/>
  <c r="M118" i="7" s="1"/>
  <c r="L117" i="7"/>
  <c r="K117" i="7"/>
  <c r="K118" i="7" s="1"/>
  <c r="J117" i="7"/>
  <c r="J118" i="7" s="1"/>
  <c r="I117" i="7"/>
  <c r="I118" i="7" s="1"/>
  <c r="H117" i="7"/>
  <c r="G117" i="7"/>
  <c r="G118" i="7" s="1"/>
  <c r="F117" i="7"/>
  <c r="F118" i="7" s="1"/>
  <c r="E117" i="7"/>
  <c r="E118" i="7" s="1"/>
  <c r="D117" i="7"/>
  <c r="C117" i="7"/>
  <c r="C118" i="7" s="1"/>
  <c r="B117" i="7"/>
  <c r="B118" i="7" s="1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AD115" i="7"/>
  <c r="AC115" i="7"/>
  <c r="AB115" i="7"/>
  <c r="AA115" i="7"/>
  <c r="Z115" i="7"/>
  <c r="Y115" i="7"/>
  <c r="X115" i="7"/>
  <c r="W115" i="7"/>
  <c r="V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AG114" i="7"/>
  <c r="AF114" i="7"/>
  <c r="AE114" i="7"/>
  <c r="AD114" i="7"/>
  <c r="AC114" i="7"/>
  <c r="AB114" i="7"/>
  <c r="AH114" i="7" s="1"/>
  <c r="AA114" i="7"/>
  <c r="Z114" i="7"/>
  <c r="Y114" i="7"/>
  <c r="X114" i="7"/>
  <c r="X118" i="7" s="1"/>
  <c r="W114" i="7"/>
  <c r="V114" i="7"/>
  <c r="T114" i="7"/>
  <c r="T118" i="7" s="1"/>
  <c r="Q114" i="7"/>
  <c r="P114" i="7"/>
  <c r="P118" i="7" s="1"/>
  <c r="O114" i="7"/>
  <c r="N114" i="7"/>
  <c r="M114" i="7"/>
  <c r="L114" i="7"/>
  <c r="L118" i="7" s="1"/>
  <c r="K114" i="7"/>
  <c r="J114" i="7"/>
  <c r="I114" i="7"/>
  <c r="H114" i="7"/>
  <c r="H118" i="7" s="1"/>
  <c r="G114" i="7"/>
  <c r="F114" i="7"/>
  <c r="E114" i="7"/>
  <c r="D114" i="7"/>
  <c r="D118" i="7" s="1"/>
  <c r="C114" i="7"/>
  <c r="B114" i="7"/>
  <c r="AD112" i="7"/>
  <c r="AE112" i="7" s="1"/>
  <c r="AC112" i="7"/>
  <c r="AB112" i="7"/>
  <c r="AH112" i="7" s="1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AH111" i="7"/>
  <c r="AG111" i="7"/>
  <c r="AF111" i="7"/>
  <c r="AE111" i="7"/>
  <c r="AH110" i="7"/>
  <c r="AG110" i="7"/>
  <c r="AF110" i="7"/>
  <c r="AE110" i="7"/>
  <c r="AH109" i="7"/>
  <c r="AF109" i="7" s="1"/>
  <c r="AH108" i="7"/>
  <c r="AF108" i="7" s="1"/>
  <c r="AH107" i="7"/>
  <c r="AF107" i="7" s="1"/>
  <c r="AH106" i="7"/>
  <c r="AF106" i="7" s="1"/>
  <c r="AH105" i="7"/>
  <c r="AF105" i="7" s="1"/>
  <c r="AH104" i="7"/>
  <c r="AF104" i="7" s="1"/>
  <c r="AH102" i="7"/>
  <c r="AF102" i="7" s="1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AH100" i="7"/>
  <c r="AG100" i="7" s="1"/>
  <c r="AE100" i="7"/>
  <c r="AH99" i="7"/>
  <c r="AG99" i="7" s="1"/>
  <c r="AE99" i="7"/>
  <c r="AH98" i="7"/>
  <c r="AG98" i="7" s="1"/>
  <c r="AE98" i="7"/>
  <c r="AD96" i="7"/>
  <c r="AC96" i="7"/>
  <c r="AB96" i="7"/>
  <c r="AA96" i="7"/>
  <c r="Z96" i="7"/>
  <c r="Y96" i="7"/>
  <c r="X96" i="7"/>
  <c r="W96" i="7"/>
  <c r="V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AH95" i="7"/>
  <c r="AG95" i="7"/>
  <c r="AF95" i="7"/>
  <c r="AE95" i="7"/>
  <c r="AH94" i="7"/>
  <c r="AG94" i="7"/>
  <c r="AF94" i="7"/>
  <c r="AE94" i="7"/>
  <c r="U94" i="7"/>
  <c r="U115" i="7" s="1"/>
  <c r="S94" i="7"/>
  <c r="AH93" i="7"/>
  <c r="AG93" i="7"/>
  <c r="AF93" i="7"/>
  <c r="AE93" i="7"/>
  <c r="U93" i="7"/>
  <c r="U96" i="7" s="1"/>
  <c r="S93" i="7"/>
  <c r="S114" i="7" s="1"/>
  <c r="R93" i="7"/>
  <c r="R114" i="7" s="1"/>
  <c r="AH92" i="7"/>
  <c r="AE92" i="7" s="1"/>
  <c r="AG92" i="7"/>
  <c r="AF92" i="7"/>
  <c r="AC90" i="7"/>
  <c r="Y90" i="7"/>
  <c r="U90" i="7"/>
  <c r="Q90" i="7"/>
  <c r="M90" i="7"/>
  <c r="I90" i="7"/>
  <c r="E90" i="7"/>
  <c r="AH89" i="7"/>
  <c r="AF89" i="7" s="1"/>
  <c r="AD88" i="7"/>
  <c r="AC88" i="7"/>
  <c r="AB88" i="7"/>
  <c r="AA88" i="7"/>
  <c r="AA90" i="7" s="1"/>
  <c r="Z88" i="7"/>
  <c r="Z90" i="7" s="1"/>
  <c r="Y88" i="7"/>
  <c r="X88" i="7"/>
  <c r="W88" i="7"/>
  <c r="W90" i="7" s="1"/>
  <c r="V88" i="7"/>
  <c r="V90" i="7" s="1"/>
  <c r="U88" i="7"/>
  <c r="T88" i="7"/>
  <c r="S88" i="7"/>
  <c r="S90" i="7" s="1"/>
  <c r="R88" i="7"/>
  <c r="R90" i="7" s="1"/>
  <c r="Q88" i="7"/>
  <c r="P88" i="7"/>
  <c r="O88" i="7"/>
  <c r="O90" i="7" s="1"/>
  <c r="N88" i="7"/>
  <c r="N90" i="7" s="1"/>
  <c r="M88" i="7"/>
  <c r="L88" i="7"/>
  <c r="J88" i="7"/>
  <c r="J90" i="7" s="1"/>
  <c r="I88" i="7"/>
  <c r="H88" i="7"/>
  <c r="G88" i="7"/>
  <c r="G90" i="7" s="1"/>
  <c r="F88" i="7"/>
  <c r="F90" i="7" s="1"/>
  <c r="E88" i="7"/>
  <c r="D88" i="7"/>
  <c r="C88" i="7"/>
  <c r="C90" i="7" s="1"/>
  <c r="B88" i="7"/>
  <c r="B90" i="7" s="1"/>
  <c r="AH87" i="7"/>
  <c r="AG87" i="7" s="1"/>
  <c r="AE87" i="7"/>
  <c r="AH86" i="7"/>
  <c r="AG86" i="7" s="1"/>
  <c r="AE86" i="7"/>
  <c r="K86" i="7"/>
  <c r="K88" i="7" s="1"/>
  <c r="K90" i="7" s="1"/>
  <c r="AH85" i="7"/>
  <c r="AG85" i="7"/>
  <c r="AF85" i="7"/>
  <c r="AE85" i="7"/>
  <c r="AD83" i="7"/>
  <c r="AC83" i="7"/>
  <c r="AB83" i="7"/>
  <c r="AH83" i="7" s="1"/>
  <c r="AA83" i="7"/>
  <c r="Z83" i="7"/>
  <c r="Y83" i="7"/>
  <c r="X83" i="7"/>
  <c r="X90" i="7" s="1"/>
  <c r="W83" i="7"/>
  <c r="V83" i="7"/>
  <c r="U83" i="7"/>
  <c r="T83" i="7"/>
  <c r="T90" i="7" s="1"/>
  <c r="S83" i="7"/>
  <c r="R83" i="7"/>
  <c r="Q83" i="7"/>
  <c r="P83" i="7"/>
  <c r="P90" i="7" s="1"/>
  <c r="O83" i="7"/>
  <c r="N83" i="7"/>
  <c r="M83" i="7"/>
  <c r="L83" i="7"/>
  <c r="L90" i="7" s="1"/>
  <c r="K83" i="7"/>
  <c r="J83" i="7"/>
  <c r="I83" i="7"/>
  <c r="H83" i="7"/>
  <c r="H90" i="7" s="1"/>
  <c r="G83" i="7"/>
  <c r="F83" i="7"/>
  <c r="E83" i="7"/>
  <c r="D83" i="7"/>
  <c r="D90" i="7" s="1"/>
  <c r="C83" i="7"/>
  <c r="B83" i="7"/>
  <c r="AH82" i="7"/>
  <c r="AG82" i="7"/>
  <c r="AF82" i="7"/>
  <c r="AE82" i="7"/>
  <c r="AH81" i="7"/>
  <c r="AE81" i="7" s="1"/>
  <c r="AG81" i="7"/>
  <c r="AF81" i="7"/>
  <c r="AD71" i="7"/>
  <c r="AC71" i="7"/>
  <c r="AB71" i="7"/>
  <c r="AA71" i="7"/>
  <c r="Z71" i="7"/>
  <c r="Y71" i="7"/>
  <c r="X71" i="7"/>
  <c r="V71" i="7"/>
  <c r="T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AH70" i="7"/>
  <c r="AG70" i="7"/>
  <c r="AF70" i="7"/>
  <c r="AE70" i="7"/>
  <c r="AH69" i="7"/>
  <c r="AH68" i="7"/>
  <c r="AE68" i="7" s="1"/>
  <c r="AH67" i="7"/>
  <c r="AG67" i="7"/>
  <c r="AF67" i="7"/>
  <c r="AE67" i="7"/>
  <c r="W67" i="7"/>
  <c r="U67" i="7"/>
  <c r="R67" i="7"/>
  <c r="AH66" i="7"/>
  <c r="AG66" i="7"/>
  <c r="AF66" i="7"/>
  <c r="AE66" i="7"/>
  <c r="U66" i="7"/>
  <c r="S66" i="7"/>
  <c r="S71" i="7" s="1"/>
  <c r="R66" i="7"/>
  <c r="R71" i="7" s="1"/>
  <c r="AH65" i="7"/>
  <c r="AE65" i="7"/>
  <c r="W65" i="7"/>
  <c r="W71" i="7" s="1"/>
  <c r="U65" i="7"/>
  <c r="U71" i="7" s="1"/>
  <c r="R65" i="7"/>
  <c r="AH63" i="7"/>
  <c r="AD63" i="7"/>
  <c r="AC63" i="7"/>
  <c r="AB63" i="7"/>
  <c r="AB72" i="7" s="1"/>
  <c r="AA63" i="7"/>
  <c r="Z63" i="7"/>
  <c r="Y63" i="7"/>
  <c r="X63" i="7"/>
  <c r="X72" i="7" s="1"/>
  <c r="V63" i="7"/>
  <c r="T63" i="7"/>
  <c r="Q63" i="7"/>
  <c r="P63" i="7"/>
  <c r="O63" i="7"/>
  <c r="N63" i="7"/>
  <c r="M63" i="7"/>
  <c r="L63" i="7"/>
  <c r="K63" i="7"/>
  <c r="J63" i="7"/>
  <c r="I63" i="7"/>
  <c r="I72" i="7" s="1"/>
  <c r="H63" i="7"/>
  <c r="G63" i="7"/>
  <c r="F63" i="7"/>
  <c r="E63" i="7"/>
  <c r="D63" i="7"/>
  <c r="C63" i="7"/>
  <c r="B63" i="7"/>
  <c r="AH62" i="7"/>
  <c r="AE62" i="7"/>
  <c r="U62" i="7"/>
  <c r="S62" i="7"/>
  <c r="R62" i="7"/>
  <c r="AH61" i="7"/>
  <c r="U61" i="7"/>
  <c r="S61" i="7"/>
  <c r="R61" i="7"/>
  <c r="AH60" i="7"/>
  <c r="AE60" i="7" s="1"/>
  <c r="AG60" i="7"/>
  <c r="AF60" i="7"/>
  <c r="AH59" i="7"/>
  <c r="AE59" i="7" s="1"/>
  <c r="AG59" i="7"/>
  <c r="AF59" i="7"/>
  <c r="W59" i="7"/>
  <c r="U59" i="7"/>
  <c r="U63" i="7" s="1"/>
  <c r="S59" i="7"/>
  <c r="R59" i="7"/>
  <c r="AH58" i="7"/>
  <c r="AE58" i="7" s="1"/>
  <c r="AG58" i="7"/>
  <c r="AF58" i="7"/>
  <c r="W58" i="7"/>
  <c r="U58" i="7"/>
  <c r="S58" i="7"/>
  <c r="R58" i="7"/>
  <c r="AH57" i="7"/>
  <c r="AE57" i="7" s="1"/>
  <c r="AG57" i="7"/>
  <c r="AF57" i="7"/>
  <c r="W57" i="7"/>
  <c r="W63" i="7" s="1"/>
  <c r="R57" i="7"/>
  <c r="R63" i="7" s="1"/>
  <c r="AH56" i="7"/>
  <c r="AE56" i="7"/>
  <c r="AH55" i="7"/>
  <c r="AG55" i="7"/>
  <c r="AF55" i="7"/>
  <c r="AE55" i="7"/>
  <c r="S55" i="7"/>
  <c r="AH54" i="7"/>
  <c r="AG54" i="7"/>
  <c r="AF54" i="7"/>
  <c r="AE54" i="7"/>
  <c r="W54" i="7"/>
  <c r="U54" i="7"/>
  <c r="S54" i="7"/>
  <c r="S63" i="7" s="1"/>
  <c r="AH52" i="7"/>
  <c r="AE52" i="7"/>
  <c r="AD52" i="7"/>
  <c r="AC52" i="7"/>
  <c r="AB52" i="7"/>
  <c r="AA52" i="7"/>
  <c r="Z52" i="7"/>
  <c r="Y52" i="7"/>
  <c r="X52" i="7"/>
  <c r="W52" i="7"/>
  <c r="V52" i="7"/>
  <c r="T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H51" i="7"/>
  <c r="AG51" i="7"/>
  <c r="AF51" i="7"/>
  <c r="AE51" i="7"/>
  <c r="AH50" i="7"/>
  <c r="AG50" i="7"/>
  <c r="AF50" i="7"/>
  <c r="AE50" i="7"/>
  <c r="AH49" i="7"/>
  <c r="AG49" i="7"/>
  <c r="AF49" i="7"/>
  <c r="AE49" i="7"/>
  <c r="AH48" i="7"/>
  <c r="AG48" i="7"/>
  <c r="AF48" i="7"/>
  <c r="AE48" i="7"/>
  <c r="W48" i="7"/>
  <c r="U48" i="7"/>
  <c r="S48" i="7"/>
  <c r="R48" i="7"/>
  <c r="R52" i="7" s="1"/>
  <c r="AH47" i="7"/>
  <c r="AG47" i="7"/>
  <c r="AF47" i="7"/>
  <c r="AE47" i="7"/>
  <c r="AH46" i="7"/>
  <c r="AG46" i="7"/>
  <c r="AF46" i="7"/>
  <c r="AE46" i="7"/>
  <c r="S46" i="7"/>
  <c r="R46" i="7"/>
  <c r="AH45" i="7"/>
  <c r="AG45" i="7"/>
  <c r="AF45" i="7"/>
  <c r="AE45" i="7"/>
  <c r="AH44" i="7"/>
  <c r="AG44" i="7"/>
  <c r="W44" i="7"/>
  <c r="U44" i="7"/>
  <c r="U52" i="7" s="1"/>
  <c r="AH43" i="7"/>
  <c r="AH42" i="7"/>
  <c r="AE42" i="7" s="1"/>
  <c r="AG42" i="7"/>
  <c r="AF42" i="7"/>
  <c r="R42" i="7"/>
  <c r="AH41" i="7"/>
  <c r="AH40" i="7"/>
  <c r="S40" i="7"/>
  <c r="S52" i="7" s="1"/>
  <c r="R40" i="7"/>
  <c r="AH39" i="7"/>
  <c r="AG39" i="7"/>
  <c r="AF39" i="7"/>
  <c r="AE39" i="7"/>
  <c r="AD38" i="7"/>
  <c r="AC38" i="7"/>
  <c r="AB38" i="7"/>
  <c r="AH38" i="7" s="1"/>
  <c r="AG38" i="7" s="1"/>
  <c r="AA38" i="7"/>
  <c r="Z38" i="7"/>
  <c r="Y38" i="7"/>
  <c r="X38" i="7"/>
  <c r="V38" i="7"/>
  <c r="T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H37" i="7"/>
  <c r="AG37" i="7"/>
  <c r="AF37" i="7"/>
  <c r="AE37" i="7"/>
  <c r="AH36" i="7"/>
  <c r="AE36" i="7" s="1"/>
  <c r="AG36" i="7"/>
  <c r="AF36" i="7"/>
  <c r="AH35" i="7"/>
  <c r="AE35" i="7" s="1"/>
  <c r="AF35" i="7"/>
  <c r="W35" i="7"/>
  <c r="U35" i="7"/>
  <c r="S35" i="7"/>
  <c r="AH34" i="7"/>
  <c r="AG34" i="7"/>
  <c r="AF34" i="7"/>
  <c r="AE34" i="7"/>
  <c r="AH33" i="7"/>
  <c r="AG33" i="7"/>
  <c r="AF33" i="7"/>
  <c r="AE33" i="7"/>
  <c r="W33" i="7"/>
  <c r="U33" i="7"/>
  <c r="S33" i="7"/>
  <c r="AH32" i="7"/>
  <c r="AG32" i="7" s="1"/>
  <c r="AF32" i="7"/>
  <c r="W32" i="7"/>
  <c r="U32" i="7"/>
  <c r="S32" i="7"/>
  <c r="AH31" i="7"/>
  <c r="AF31" i="7" s="1"/>
  <c r="AG31" i="7"/>
  <c r="AE31" i="7"/>
  <c r="W31" i="7"/>
  <c r="S31" i="7"/>
  <c r="AH30" i="7"/>
  <c r="AG30" i="7"/>
  <c r="AF30" i="7"/>
  <c r="AE30" i="7"/>
  <c r="AH29" i="7"/>
  <c r="AG29" i="7"/>
  <c r="AF29" i="7"/>
  <c r="AE29" i="7"/>
  <c r="AH28" i="7"/>
  <c r="AG28" i="7"/>
  <c r="AF28" i="7"/>
  <c r="AE28" i="7"/>
  <c r="W28" i="7"/>
  <c r="U28" i="7"/>
  <c r="S28" i="7"/>
  <c r="R28" i="7"/>
  <c r="AH27" i="7"/>
  <c r="AG27" i="7"/>
  <c r="AF27" i="7"/>
  <c r="AE27" i="7"/>
  <c r="AH26" i="7"/>
  <c r="AG26" i="7"/>
  <c r="AF26" i="7"/>
  <c r="AE26" i="7"/>
  <c r="U26" i="7"/>
  <c r="S26" i="7"/>
  <c r="R26" i="7"/>
  <c r="AH25" i="7"/>
  <c r="AG25" i="7" s="1"/>
  <c r="AF25" i="7"/>
  <c r="AE25" i="7"/>
  <c r="W25" i="7"/>
  <c r="AH24" i="7"/>
  <c r="AG24" i="7"/>
  <c r="AF24" i="7"/>
  <c r="AE24" i="7"/>
  <c r="W24" i="7"/>
  <c r="U24" i="7"/>
  <c r="R24" i="7"/>
  <c r="AH23" i="7"/>
  <c r="AE23" i="7" s="1"/>
  <c r="AH22" i="7"/>
  <c r="AE22" i="7" s="1"/>
  <c r="W22" i="7"/>
  <c r="W38" i="7" s="1"/>
  <c r="U22" i="7"/>
  <c r="S22" i="7"/>
  <c r="AH21" i="7"/>
  <c r="AF21" i="7" s="1"/>
  <c r="AG21" i="7"/>
  <c r="AE21" i="7"/>
  <c r="U21" i="7"/>
  <c r="S21" i="7"/>
  <c r="AH20" i="7"/>
  <c r="AG20" i="7"/>
  <c r="AF20" i="7"/>
  <c r="AE20" i="7"/>
  <c r="W20" i="7"/>
  <c r="U20" i="7"/>
  <c r="U38" i="7" s="1"/>
  <c r="S20" i="7"/>
  <c r="AH19" i="7"/>
  <c r="AE19" i="7" s="1"/>
  <c r="S19" i="7"/>
  <c r="S38" i="7" s="1"/>
  <c r="AH18" i="7"/>
  <c r="AG18" i="7"/>
  <c r="AF18" i="7"/>
  <c r="AE18" i="7"/>
  <c r="AB16" i="7"/>
  <c r="AA16" i="7"/>
  <c r="X16" i="7"/>
  <c r="W16" i="7"/>
  <c r="T16" i="7"/>
  <c r="S16" i="7"/>
  <c r="P16" i="7"/>
  <c r="O16" i="7"/>
  <c r="L16" i="7"/>
  <c r="K16" i="7"/>
  <c r="H16" i="7"/>
  <c r="G16" i="7"/>
  <c r="D16" i="7"/>
  <c r="C16" i="7"/>
  <c r="AH15" i="7"/>
  <c r="AG15" i="7" s="1"/>
  <c r="AF15" i="7"/>
  <c r="S15" i="7"/>
  <c r="AH14" i="7"/>
  <c r="AF14" i="7" s="1"/>
  <c r="AG14" i="7"/>
  <c r="AE14" i="7"/>
  <c r="AD13" i="7"/>
  <c r="AD16" i="7" s="1"/>
  <c r="AC13" i="7"/>
  <c r="AH13" i="7" s="1"/>
  <c r="AB13" i="7"/>
  <c r="AA13" i="7"/>
  <c r="Z13" i="7"/>
  <c r="Z16" i="7" s="1"/>
  <c r="Y13" i="7"/>
  <c r="Y16" i="7" s="1"/>
  <c r="X13" i="7"/>
  <c r="W13" i="7"/>
  <c r="V13" i="7"/>
  <c r="V16" i="7" s="1"/>
  <c r="T13" i="7"/>
  <c r="S13" i="7"/>
  <c r="Q13" i="7"/>
  <c r="Q16" i="7" s="1"/>
  <c r="Q72" i="7" s="1"/>
  <c r="P13" i="7"/>
  <c r="O13" i="7"/>
  <c r="N13" i="7"/>
  <c r="N16" i="7" s="1"/>
  <c r="M13" i="7"/>
  <c r="M16" i="7" s="1"/>
  <c r="M72" i="7" s="1"/>
  <c r="L13" i="7"/>
  <c r="K13" i="7"/>
  <c r="J13" i="7"/>
  <c r="J16" i="7" s="1"/>
  <c r="I13" i="7"/>
  <c r="I16" i="7" s="1"/>
  <c r="H13" i="7"/>
  <c r="G13" i="7"/>
  <c r="F13" i="7"/>
  <c r="F16" i="7" s="1"/>
  <c r="E13" i="7"/>
  <c r="E16" i="7" s="1"/>
  <c r="E72" i="7" s="1"/>
  <c r="D13" i="7"/>
  <c r="C13" i="7"/>
  <c r="B13" i="7"/>
  <c r="B16" i="7" s="1"/>
  <c r="AH12" i="7"/>
  <c r="AE12" i="7" s="1"/>
  <c r="R12" i="7"/>
  <c r="R13" i="7" s="1"/>
  <c r="R16" i="7" s="1"/>
  <c r="AH11" i="7"/>
  <c r="AF11" i="7"/>
  <c r="AE11" i="7"/>
  <c r="AH10" i="7"/>
  <c r="AE10" i="7" s="1"/>
  <c r="AH9" i="7"/>
  <c r="AE9" i="7" s="1"/>
  <c r="U9" i="7"/>
  <c r="U13" i="7" s="1"/>
  <c r="U16" i="7" s="1"/>
  <c r="AH8" i="7"/>
  <c r="AG8" i="7"/>
  <c r="AF8" i="7"/>
  <c r="AE8" i="7"/>
  <c r="B90" i="8" l="1"/>
  <c r="F90" i="8"/>
  <c r="J90" i="8"/>
  <c r="AF10" i="8"/>
  <c r="X72" i="8"/>
  <c r="AE15" i="8"/>
  <c r="AG21" i="8"/>
  <c r="AF23" i="8"/>
  <c r="AE26" i="8"/>
  <c r="AE27" i="8"/>
  <c r="AE28" i="8"/>
  <c r="AE30" i="8"/>
  <c r="S38" i="8"/>
  <c r="AF42" i="8"/>
  <c r="AG46" i="8"/>
  <c r="AG47" i="8"/>
  <c r="AG48" i="8"/>
  <c r="AG49" i="8"/>
  <c r="AG51" i="8"/>
  <c r="S63" i="8"/>
  <c r="AG57" i="8"/>
  <c r="AF60" i="8"/>
  <c r="W71" i="8"/>
  <c r="AF81" i="8"/>
  <c r="C90" i="8"/>
  <c r="G90" i="8"/>
  <c r="AF92" i="8"/>
  <c r="S96" i="8"/>
  <c r="AE94" i="8"/>
  <c r="AF95" i="8"/>
  <c r="AG104" i="8"/>
  <c r="AG106" i="8"/>
  <c r="AG108" i="8"/>
  <c r="AE114" i="8"/>
  <c r="E118" i="8"/>
  <c r="I118" i="8"/>
  <c r="M118" i="8"/>
  <c r="Q118" i="8"/>
  <c r="Q120" i="8" s="1"/>
  <c r="Y118" i="8"/>
  <c r="AC118" i="8"/>
  <c r="AH118" i="8" s="1"/>
  <c r="AF12" i="8"/>
  <c r="AF19" i="8"/>
  <c r="AF22" i="8"/>
  <c r="AF26" i="8"/>
  <c r="AF27" i="8"/>
  <c r="AF28" i="8"/>
  <c r="AF30" i="8"/>
  <c r="AF36" i="8"/>
  <c r="R52" i="8"/>
  <c r="R63" i="8"/>
  <c r="AF59" i="8"/>
  <c r="AH83" i="8"/>
  <c r="AE83" i="8" s="1"/>
  <c r="U96" i="8"/>
  <c r="AH114" i="8"/>
  <c r="N118" i="8"/>
  <c r="V118" i="8"/>
  <c r="Z118" i="8"/>
  <c r="AD118" i="8"/>
  <c r="AF9" i="8"/>
  <c r="AG9" i="8"/>
  <c r="AG12" i="8"/>
  <c r="AG19" i="8"/>
  <c r="W38" i="8"/>
  <c r="AG22" i="8"/>
  <c r="AG31" i="8"/>
  <c r="AG36" i="8"/>
  <c r="AH38" i="8"/>
  <c r="S52" i="8"/>
  <c r="AG44" i="8"/>
  <c r="W63" i="8"/>
  <c r="W72" i="8" s="1"/>
  <c r="AG59" i="8"/>
  <c r="AG61" i="8"/>
  <c r="R71" i="8"/>
  <c r="E90" i="8"/>
  <c r="I90" i="8"/>
  <c r="N90" i="8"/>
  <c r="R90" i="8"/>
  <c r="V90" i="8"/>
  <c r="Z90" i="8"/>
  <c r="R96" i="8"/>
  <c r="AG102" i="8"/>
  <c r="AG105" i="8"/>
  <c r="AG107" i="8"/>
  <c r="AG109" i="8"/>
  <c r="AH112" i="8"/>
  <c r="AF112" i="8" s="1"/>
  <c r="AH16" i="8"/>
  <c r="AG16" i="8" s="1"/>
  <c r="AB72" i="8"/>
  <c r="AG38" i="8"/>
  <c r="AF38" i="8"/>
  <c r="AG56" i="8"/>
  <c r="AF56" i="8"/>
  <c r="AE56" i="8"/>
  <c r="S72" i="8"/>
  <c r="K72" i="8"/>
  <c r="AG99" i="8"/>
  <c r="AF99" i="8"/>
  <c r="AE99" i="8"/>
  <c r="F118" i="8"/>
  <c r="J118" i="8"/>
  <c r="J120" i="8" s="1"/>
  <c r="AB120" i="8"/>
  <c r="AF15" i="8"/>
  <c r="AE16" i="8"/>
  <c r="AE18" i="8"/>
  <c r="AE20" i="8"/>
  <c r="AE24" i="8"/>
  <c r="AF63" i="8"/>
  <c r="V72" i="8"/>
  <c r="V120" i="8" s="1"/>
  <c r="AA72" i="8"/>
  <c r="AG87" i="8"/>
  <c r="AF87" i="8"/>
  <c r="AE87" i="8"/>
  <c r="AG96" i="8"/>
  <c r="AG100" i="8"/>
  <c r="AF100" i="8"/>
  <c r="AE100" i="8"/>
  <c r="AG115" i="8"/>
  <c r="AF115" i="8"/>
  <c r="AE115" i="8"/>
  <c r="C118" i="8"/>
  <c r="G118" i="8"/>
  <c r="O118" i="8"/>
  <c r="O120" i="8" s="1"/>
  <c r="S118" i="8"/>
  <c r="P120" i="8"/>
  <c r="C72" i="8"/>
  <c r="G72" i="8"/>
  <c r="O72" i="8"/>
  <c r="Z72" i="8"/>
  <c r="AC90" i="8"/>
  <c r="AH90" i="8" s="1"/>
  <c r="AH88" i="8"/>
  <c r="AG88" i="8" s="1"/>
  <c r="B118" i="8"/>
  <c r="Z120" i="8"/>
  <c r="L120" i="8"/>
  <c r="AE11" i="8"/>
  <c r="AH13" i="8"/>
  <c r="AF16" i="8"/>
  <c r="AF18" i="8"/>
  <c r="AF20" i="8"/>
  <c r="R38" i="8"/>
  <c r="AF24" i="8"/>
  <c r="AE25" i="8"/>
  <c r="AG52" i="8"/>
  <c r="AF52" i="8"/>
  <c r="AE52" i="8"/>
  <c r="AG65" i="8"/>
  <c r="AF65" i="8"/>
  <c r="AE65" i="8"/>
  <c r="AG69" i="8"/>
  <c r="AF69" i="8"/>
  <c r="AE69" i="8"/>
  <c r="E72" i="8"/>
  <c r="I72" i="8"/>
  <c r="I120" i="8" s="1"/>
  <c r="M72" i="8"/>
  <c r="Q72" i="8"/>
  <c r="O90" i="8"/>
  <c r="S90" i="8"/>
  <c r="W90" i="8"/>
  <c r="AA90" i="8"/>
  <c r="AH96" i="8"/>
  <c r="AF96" i="8" s="1"/>
  <c r="AF101" i="8"/>
  <c r="AE112" i="8"/>
  <c r="AG116" i="8"/>
  <c r="AF116" i="8"/>
  <c r="AE116" i="8"/>
  <c r="AH117" i="8"/>
  <c r="D120" i="8"/>
  <c r="T120" i="8"/>
  <c r="AG86" i="8"/>
  <c r="AF86" i="8"/>
  <c r="AE86" i="8"/>
  <c r="R118" i="8"/>
  <c r="R120" i="8" s="1"/>
  <c r="U38" i="8"/>
  <c r="U72" i="8" s="1"/>
  <c r="AF25" i="8"/>
  <c r="AG32" i="8"/>
  <c r="AF32" i="8"/>
  <c r="AE32" i="8"/>
  <c r="AE38" i="8"/>
  <c r="AG62" i="8"/>
  <c r="AF62" i="8"/>
  <c r="AE62" i="8"/>
  <c r="AH63" i="8"/>
  <c r="R72" i="8"/>
  <c r="B72" i="8"/>
  <c r="F72" i="8"/>
  <c r="J72" i="8"/>
  <c r="N72" i="8"/>
  <c r="N120" i="8" s="1"/>
  <c r="Y72" i="8"/>
  <c r="Y120" i="8" s="1"/>
  <c r="AC72" i="8"/>
  <c r="AC120" i="8" s="1"/>
  <c r="AH71" i="8"/>
  <c r="AG71" i="8" s="1"/>
  <c r="AG83" i="8"/>
  <c r="AF83" i="8"/>
  <c r="K88" i="8"/>
  <c r="K90" i="8" s="1"/>
  <c r="K115" i="8"/>
  <c r="K118" i="8" s="1"/>
  <c r="K120" i="8" s="1"/>
  <c r="AG98" i="8"/>
  <c r="AF98" i="8"/>
  <c r="AE98" i="8"/>
  <c r="W118" i="8"/>
  <c r="AA118" i="8"/>
  <c r="AA120" i="8" s="1"/>
  <c r="E120" i="8"/>
  <c r="M120" i="8"/>
  <c r="H120" i="8"/>
  <c r="X120" i="8"/>
  <c r="AF114" i="8"/>
  <c r="AF124" i="8"/>
  <c r="AE31" i="8"/>
  <c r="AE40" i="8"/>
  <c r="AE41" i="8"/>
  <c r="AE44" i="8"/>
  <c r="AE61" i="8"/>
  <c r="AE71" i="8"/>
  <c r="AD72" i="8"/>
  <c r="AE88" i="8"/>
  <c r="AE89" i="8"/>
  <c r="AD90" i="8"/>
  <c r="AE101" i="8"/>
  <c r="AE102" i="8"/>
  <c r="AE104" i="8"/>
  <c r="AE105" i="8"/>
  <c r="AE106" i="8"/>
  <c r="AE107" i="8"/>
  <c r="AE108" i="8"/>
  <c r="AE109" i="8"/>
  <c r="U114" i="8"/>
  <c r="U118" i="8" s="1"/>
  <c r="AE117" i="8"/>
  <c r="AG13" i="7"/>
  <c r="AE13" i="7"/>
  <c r="Y72" i="7"/>
  <c r="U72" i="7"/>
  <c r="AF16" i="7"/>
  <c r="AH16" i="7"/>
  <c r="AE16" i="7" s="1"/>
  <c r="AF41" i="7"/>
  <c r="AE41" i="7"/>
  <c r="AF9" i="7"/>
  <c r="AF10" i="7"/>
  <c r="AF12" i="7"/>
  <c r="AC16" i="7"/>
  <c r="AC72" i="7" s="1"/>
  <c r="AF19" i="7"/>
  <c r="AF22" i="7"/>
  <c r="AF23" i="7"/>
  <c r="AF38" i="7"/>
  <c r="AF40" i="7"/>
  <c r="AE40" i="7"/>
  <c r="AF61" i="7"/>
  <c r="AE61" i="7"/>
  <c r="D72" i="7"/>
  <c r="H72" i="7"/>
  <c r="L72" i="7"/>
  <c r="L120" i="7" s="1"/>
  <c r="P72" i="7"/>
  <c r="AF63" i="7"/>
  <c r="AE63" i="7"/>
  <c r="AG69" i="7"/>
  <c r="AF69" i="7"/>
  <c r="AG96" i="7"/>
  <c r="T120" i="7"/>
  <c r="E120" i="7"/>
  <c r="I120" i="7"/>
  <c r="M120" i="7"/>
  <c r="Q120" i="7"/>
  <c r="Y120" i="7"/>
  <c r="AC120" i="7"/>
  <c r="AG9" i="7"/>
  <c r="AG10" i="7"/>
  <c r="AG12" i="7"/>
  <c r="AF13" i="7"/>
  <c r="AE15" i="7"/>
  <c r="AG19" i="7"/>
  <c r="AG22" i="7"/>
  <c r="AG23" i="7"/>
  <c r="AE32" i="7"/>
  <c r="AG41" i="7"/>
  <c r="AG52" i="7"/>
  <c r="AF52" i="7"/>
  <c r="AG56" i="7"/>
  <c r="AF56" i="7"/>
  <c r="AG62" i="7"/>
  <c r="AF62" i="7"/>
  <c r="AG63" i="7"/>
  <c r="W72" i="7"/>
  <c r="S72" i="7"/>
  <c r="S120" i="7" s="1"/>
  <c r="B72" i="7"/>
  <c r="F72" i="7"/>
  <c r="J72" i="7"/>
  <c r="N72" i="7"/>
  <c r="N120" i="7" s="1"/>
  <c r="AG83" i="7"/>
  <c r="AF83" i="7"/>
  <c r="AE83" i="7"/>
  <c r="AG112" i="7"/>
  <c r="AF112" i="7"/>
  <c r="B120" i="7"/>
  <c r="F120" i="7"/>
  <c r="J120" i="7"/>
  <c r="R118" i="7"/>
  <c r="V120" i="7"/>
  <c r="Z120" i="7"/>
  <c r="AF117" i="7"/>
  <c r="C72" i="7"/>
  <c r="G72" i="7"/>
  <c r="K72" i="7"/>
  <c r="K120" i="7" s="1"/>
  <c r="O72" i="7"/>
  <c r="Z72" i="7"/>
  <c r="AD72" i="7"/>
  <c r="AH72" i="7" s="1"/>
  <c r="D120" i="7"/>
  <c r="H120" i="7"/>
  <c r="P120" i="7"/>
  <c r="C120" i="7"/>
  <c r="G120" i="7"/>
  <c r="O120" i="7"/>
  <c r="W120" i="7"/>
  <c r="R38" i="7"/>
  <c r="R72" i="7" s="1"/>
  <c r="AG35" i="7"/>
  <c r="AE38" i="7"/>
  <c r="AG40" i="7"/>
  <c r="AF44" i="7"/>
  <c r="AE44" i="7"/>
  <c r="AG61" i="7"/>
  <c r="T72" i="7"/>
  <c r="AG65" i="7"/>
  <c r="AF65" i="7"/>
  <c r="AE69" i="7"/>
  <c r="V72" i="7"/>
  <c r="AA72" i="7"/>
  <c r="AA120" i="7" s="1"/>
  <c r="AH71" i="7"/>
  <c r="AE71" i="7" s="1"/>
  <c r="X120" i="7"/>
  <c r="AG89" i="7"/>
  <c r="AB90" i="7"/>
  <c r="AH96" i="7"/>
  <c r="AE96" i="7" s="1"/>
  <c r="AG102" i="7"/>
  <c r="AG104" i="7"/>
  <c r="AG105" i="7"/>
  <c r="AG106" i="7"/>
  <c r="AG107" i="7"/>
  <c r="AG108" i="7"/>
  <c r="AG109" i="7"/>
  <c r="AH115" i="7"/>
  <c r="AE115" i="7" s="1"/>
  <c r="AH116" i="7"/>
  <c r="AE116" i="7" s="1"/>
  <c r="AG117" i="7"/>
  <c r="AB118" i="7"/>
  <c r="AH88" i="7"/>
  <c r="AF88" i="7" s="1"/>
  <c r="AH101" i="7"/>
  <c r="AF101" i="7" s="1"/>
  <c r="AF124" i="7"/>
  <c r="AF86" i="7"/>
  <c r="AF87" i="7"/>
  <c r="AE88" i="7"/>
  <c r="AE89" i="7"/>
  <c r="AD90" i="7"/>
  <c r="AF96" i="7"/>
  <c r="AF98" i="7"/>
  <c r="AF99" i="7"/>
  <c r="AF100" i="7"/>
  <c r="AE102" i="7"/>
  <c r="AE104" i="7"/>
  <c r="AE105" i="7"/>
  <c r="AE106" i="7"/>
  <c r="AE107" i="7"/>
  <c r="AE108" i="7"/>
  <c r="AE109" i="7"/>
  <c r="U114" i="7"/>
  <c r="U118" i="7" s="1"/>
  <c r="U120" i="7" s="1"/>
  <c r="AF115" i="7"/>
  <c r="AE117" i="7"/>
  <c r="AD118" i="7"/>
  <c r="T52" i="1"/>
  <c r="AE118" i="8" l="1"/>
  <c r="AF118" i="8"/>
  <c r="AG118" i="8"/>
  <c r="U120" i="8"/>
  <c r="AG112" i="8"/>
  <c r="W120" i="8"/>
  <c r="S120" i="8"/>
  <c r="AE13" i="8"/>
  <c r="AF13" i="8"/>
  <c r="AG13" i="8"/>
  <c r="AF88" i="8"/>
  <c r="F120" i="8"/>
  <c r="AF71" i="8"/>
  <c r="AE90" i="8"/>
  <c r="AG90" i="8"/>
  <c r="AF90" i="8"/>
  <c r="AE63" i="8"/>
  <c r="AG63" i="8"/>
  <c r="B120" i="8"/>
  <c r="G120" i="8"/>
  <c r="AE96" i="8"/>
  <c r="AD120" i="8"/>
  <c r="AH72" i="8"/>
  <c r="AE72" i="8" s="1"/>
  <c r="AF117" i="8"/>
  <c r="AG117" i="8"/>
  <c r="C120" i="8"/>
  <c r="AD120" i="7"/>
  <c r="AE118" i="7"/>
  <c r="AE101" i="7"/>
  <c r="AG101" i="7"/>
  <c r="AG88" i="7"/>
  <c r="AF71" i="7"/>
  <c r="AE90" i="7"/>
  <c r="AG90" i="7"/>
  <c r="AH118" i="7"/>
  <c r="AG118" i="7" s="1"/>
  <c r="AB120" i="7"/>
  <c r="AH120" i="7" s="1"/>
  <c r="AG71" i="7"/>
  <c r="R120" i="7"/>
  <c r="AG116" i="7"/>
  <c r="AG16" i="7"/>
  <c r="AF116" i="7"/>
  <c r="AH90" i="7"/>
  <c r="AF90" i="7" s="1"/>
  <c r="AG115" i="7"/>
  <c r="AE72" i="7"/>
  <c r="AF72" i="7"/>
  <c r="AG72" i="7"/>
  <c r="AH43" i="1"/>
  <c r="AH124" i="1"/>
  <c r="AF124" i="1" s="1"/>
  <c r="AG124" i="1"/>
  <c r="AH111" i="1"/>
  <c r="AG111" i="1"/>
  <c r="AF111" i="1"/>
  <c r="AE111" i="1"/>
  <c r="AH110" i="1"/>
  <c r="AG110" i="1"/>
  <c r="AF110" i="1"/>
  <c r="AE110" i="1"/>
  <c r="AH109" i="1"/>
  <c r="AG109" i="1" s="1"/>
  <c r="AH108" i="1"/>
  <c r="AG108" i="1" s="1"/>
  <c r="AH107" i="1"/>
  <c r="AG107" i="1" s="1"/>
  <c r="AH106" i="1"/>
  <c r="AG106" i="1" s="1"/>
  <c r="AH105" i="1"/>
  <c r="AG105" i="1" s="1"/>
  <c r="AF105" i="1"/>
  <c r="AE105" i="1"/>
  <c r="AH104" i="1"/>
  <c r="AF104" i="1" s="1"/>
  <c r="AH102" i="1"/>
  <c r="AG102" i="1" s="1"/>
  <c r="AH100" i="1"/>
  <c r="AG100" i="1" s="1"/>
  <c r="AF100" i="1"/>
  <c r="AH99" i="1"/>
  <c r="AG99" i="1" s="1"/>
  <c r="AH98" i="1"/>
  <c r="AG98" i="1" s="1"/>
  <c r="AH95" i="1"/>
  <c r="AG95" i="1" s="1"/>
  <c r="AH94" i="1"/>
  <c r="AG94" i="1" s="1"/>
  <c r="AE94" i="1"/>
  <c r="AH93" i="1"/>
  <c r="AG93" i="1"/>
  <c r="AF93" i="1"/>
  <c r="AE93" i="1"/>
  <c r="AH92" i="1"/>
  <c r="AG92" i="1" s="1"/>
  <c r="AF92" i="1"/>
  <c r="AH89" i="1"/>
  <c r="AG89" i="1" s="1"/>
  <c r="AH87" i="1"/>
  <c r="AF87" i="1" s="1"/>
  <c r="AH86" i="1"/>
  <c r="AF86" i="1" s="1"/>
  <c r="AG86" i="1"/>
  <c r="AH85" i="1"/>
  <c r="AG85" i="1"/>
  <c r="AF85" i="1"/>
  <c r="AE85" i="1"/>
  <c r="AH82" i="1"/>
  <c r="AG82" i="1"/>
  <c r="AF82" i="1"/>
  <c r="AE82" i="1"/>
  <c r="AH81" i="1"/>
  <c r="AG81" i="1" s="1"/>
  <c r="AH70" i="1"/>
  <c r="AG70" i="1"/>
  <c r="AF70" i="1"/>
  <c r="AE70" i="1"/>
  <c r="AH69" i="1"/>
  <c r="AF69" i="1" s="1"/>
  <c r="AG69" i="1"/>
  <c r="AH68" i="1"/>
  <c r="AH67" i="1"/>
  <c r="AG67" i="1"/>
  <c r="AF67" i="1"/>
  <c r="AE67" i="1"/>
  <c r="AH66" i="1"/>
  <c r="AF66" i="1" s="1"/>
  <c r="AG66" i="1"/>
  <c r="AH65" i="1"/>
  <c r="AG65" i="1" s="1"/>
  <c r="AH62" i="1"/>
  <c r="AG62" i="1" s="1"/>
  <c r="AH61" i="1"/>
  <c r="AG61" i="1" s="1"/>
  <c r="AH60" i="1"/>
  <c r="AG60" i="1" s="1"/>
  <c r="AH59" i="1"/>
  <c r="AF59" i="1" s="1"/>
  <c r="AH58" i="1"/>
  <c r="AG58" i="1" s="1"/>
  <c r="AF58" i="1"/>
  <c r="AH57" i="1"/>
  <c r="AF57" i="1" s="1"/>
  <c r="AG57" i="1"/>
  <c r="AH56" i="1"/>
  <c r="AG56" i="1" s="1"/>
  <c r="AH55" i="1"/>
  <c r="AG55" i="1"/>
  <c r="AF55" i="1"/>
  <c r="AE55" i="1"/>
  <c r="AH54" i="1"/>
  <c r="AG54" i="1" s="1"/>
  <c r="AH51" i="1"/>
  <c r="AG51" i="1" s="1"/>
  <c r="AE51" i="1"/>
  <c r="AH50" i="1"/>
  <c r="AG50" i="1"/>
  <c r="AF50" i="1"/>
  <c r="AE50" i="1"/>
  <c r="AH49" i="1"/>
  <c r="AG49" i="1" s="1"/>
  <c r="AF49" i="1"/>
  <c r="AH48" i="1"/>
  <c r="AF48" i="1" s="1"/>
  <c r="AG48" i="1"/>
  <c r="AH47" i="1"/>
  <c r="AG47" i="1" s="1"/>
  <c r="AH46" i="1"/>
  <c r="AG46" i="1" s="1"/>
  <c r="AH45" i="1"/>
  <c r="AG45" i="1"/>
  <c r="AF45" i="1"/>
  <c r="AE45" i="1"/>
  <c r="AH44" i="1"/>
  <c r="AG44" i="1" s="1"/>
  <c r="AH42" i="1"/>
  <c r="AF42" i="1" s="1"/>
  <c r="AG42" i="1"/>
  <c r="AH41" i="1"/>
  <c r="AG41" i="1" s="1"/>
  <c r="AH40" i="1"/>
  <c r="AG40" i="1" s="1"/>
  <c r="AH39" i="1"/>
  <c r="AG39" i="1"/>
  <c r="AF39" i="1"/>
  <c r="AE39" i="1"/>
  <c r="AH37" i="1"/>
  <c r="AG37" i="1"/>
  <c r="AF37" i="1"/>
  <c r="AE37" i="1"/>
  <c r="AH36" i="1"/>
  <c r="AG36" i="1" s="1"/>
  <c r="AF36" i="1"/>
  <c r="AH35" i="1"/>
  <c r="AG35" i="1" s="1"/>
  <c r="AH34" i="1"/>
  <c r="AG34" i="1" s="1"/>
  <c r="AF34" i="1"/>
  <c r="AH33" i="1"/>
  <c r="AG33" i="1" s="1"/>
  <c r="AH32" i="1"/>
  <c r="AF32" i="1" s="1"/>
  <c r="AG32" i="1"/>
  <c r="AH31" i="1"/>
  <c r="AG31" i="1" s="1"/>
  <c r="AH30" i="1"/>
  <c r="AG30" i="1" s="1"/>
  <c r="AF30" i="1"/>
  <c r="AH29" i="1"/>
  <c r="AG29" i="1"/>
  <c r="AF29" i="1"/>
  <c r="AE29" i="1"/>
  <c r="AH28" i="1"/>
  <c r="AF28" i="1" s="1"/>
  <c r="AG28" i="1"/>
  <c r="AH27" i="1"/>
  <c r="AG27" i="1" s="1"/>
  <c r="AH26" i="1"/>
  <c r="AG26" i="1" s="1"/>
  <c r="AH25" i="1"/>
  <c r="AG25" i="1" s="1"/>
  <c r="AH24" i="1"/>
  <c r="AG24" i="1" s="1"/>
  <c r="AH23" i="1"/>
  <c r="AG23" i="1" s="1"/>
  <c r="AH22" i="1"/>
  <c r="AF22" i="1" s="1"/>
  <c r="AG22" i="1"/>
  <c r="AH21" i="1"/>
  <c r="AG21" i="1" s="1"/>
  <c r="AH20" i="1"/>
  <c r="AF20" i="1" s="1"/>
  <c r="AG20" i="1"/>
  <c r="AH19" i="1"/>
  <c r="AG19" i="1" s="1"/>
  <c r="AH18" i="1"/>
  <c r="AF18" i="1" s="1"/>
  <c r="AG18" i="1"/>
  <c r="AH15" i="1"/>
  <c r="AG15" i="1" s="1"/>
  <c r="AF15" i="1"/>
  <c r="AH14" i="1"/>
  <c r="AG14" i="1" s="1"/>
  <c r="AH12" i="1"/>
  <c r="AG12" i="1" s="1"/>
  <c r="AH11" i="1"/>
  <c r="AF11" i="1" s="1"/>
  <c r="AH10" i="1"/>
  <c r="AG10" i="1" s="1"/>
  <c r="AH8" i="1"/>
  <c r="AG8" i="1"/>
  <c r="AF8" i="1"/>
  <c r="AE8" i="1"/>
  <c r="AC117" i="1"/>
  <c r="AC116" i="1"/>
  <c r="AC115" i="1"/>
  <c r="AC114" i="1"/>
  <c r="AC112" i="1"/>
  <c r="AC101" i="1"/>
  <c r="AC96" i="1"/>
  <c r="AC88" i="1"/>
  <c r="AC83" i="1"/>
  <c r="AC71" i="1"/>
  <c r="AC63" i="1"/>
  <c r="AC52" i="1"/>
  <c r="AC38" i="1"/>
  <c r="AC13" i="1"/>
  <c r="AC16" i="1" s="1"/>
  <c r="Y114" i="1"/>
  <c r="AD114" i="1"/>
  <c r="AG114" i="1" s="1"/>
  <c r="AD115" i="1"/>
  <c r="AD117" i="1"/>
  <c r="AD116" i="1"/>
  <c r="AF72" i="8" l="1"/>
  <c r="AH120" i="8"/>
  <c r="AG120" i="8" s="1"/>
  <c r="AG72" i="8"/>
  <c r="AF118" i="7"/>
  <c r="AG120" i="7"/>
  <c r="AF120" i="7"/>
  <c r="AE120" i="7"/>
  <c r="AE124" i="1"/>
  <c r="AG87" i="1"/>
  <c r="AE104" i="1"/>
  <c r="AE87" i="1"/>
  <c r="AG104" i="1"/>
  <c r="AE109" i="1"/>
  <c r="AF109" i="1"/>
  <c r="AE108" i="1"/>
  <c r="AF108" i="1"/>
  <c r="AE107" i="1"/>
  <c r="AF107" i="1"/>
  <c r="AE106" i="1"/>
  <c r="AF106" i="1"/>
  <c r="AE102" i="1"/>
  <c r="AF102" i="1"/>
  <c r="AE100" i="1"/>
  <c r="AE99" i="1"/>
  <c r="AF99" i="1"/>
  <c r="AE98" i="1"/>
  <c r="AF98" i="1"/>
  <c r="AE95" i="1"/>
  <c r="AF95" i="1"/>
  <c r="AF94" i="1"/>
  <c r="AE92" i="1"/>
  <c r="AE89" i="1"/>
  <c r="AF89" i="1"/>
  <c r="AE86" i="1"/>
  <c r="AE114" i="1"/>
  <c r="AE81" i="1"/>
  <c r="AF81" i="1"/>
  <c r="AF114" i="1"/>
  <c r="AC118" i="1"/>
  <c r="AE18" i="1"/>
  <c r="AC90" i="1"/>
  <c r="AF41" i="1"/>
  <c r="AE59" i="1"/>
  <c r="AG59" i="1"/>
  <c r="AF14" i="1"/>
  <c r="AE48" i="1"/>
  <c r="AE69" i="1"/>
  <c r="AE68" i="1"/>
  <c r="AE66" i="1"/>
  <c r="AE65" i="1"/>
  <c r="AF65" i="1"/>
  <c r="AE62" i="1"/>
  <c r="AF62" i="1"/>
  <c r="AE61" i="1"/>
  <c r="AF61" i="1"/>
  <c r="AE60" i="1"/>
  <c r="AF60" i="1"/>
  <c r="AE58" i="1"/>
  <c r="AE57" i="1"/>
  <c r="AE56" i="1"/>
  <c r="AF56" i="1"/>
  <c r="AE54" i="1"/>
  <c r="AF54" i="1"/>
  <c r="AF51" i="1"/>
  <c r="AE49" i="1"/>
  <c r="AE47" i="1"/>
  <c r="AF47" i="1"/>
  <c r="AE46" i="1"/>
  <c r="AF46" i="1"/>
  <c r="AE44" i="1"/>
  <c r="AF44" i="1"/>
  <c r="AE42" i="1"/>
  <c r="AE41" i="1"/>
  <c r="AE40" i="1"/>
  <c r="AF40" i="1"/>
  <c r="AE36" i="1"/>
  <c r="AE35" i="1"/>
  <c r="AF35" i="1"/>
  <c r="AE34" i="1"/>
  <c r="AE33" i="1"/>
  <c r="AF33" i="1"/>
  <c r="AE32" i="1"/>
  <c r="AE31" i="1"/>
  <c r="AF31" i="1"/>
  <c r="AE30" i="1"/>
  <c r="AE28" i="1"/>
  <c r="AE27" i="1"/>
  <c r="AF27" i="1"/>
  <c r="AE26" i="1"/>
  <c r="AF26" i="1"/>
  <c r="AE25" i="1"/>
  <c r="AF25" i="1"/>
  <c r="AE24" i="1"/>
  <c r="AF24" i="1"/>
  <c r="AE23" i="1"/>
  <c r="AF23" i="1"/>
  <c r="AE22" i="1"/>
  <c r="AE21" i="1"/>
  <c r="AF21" i="1"/>
  <c r="AE20" i="1"/>
  <c r="AE19" i="1"/>
  <c r="AF19" i="1"/>
  <c r="AE15" i="1"/>
  <c r="AE14" i="1"/>
  <c r="AE12" i="1"/>
  <c r="AF12" i="1"/>
  <c r="AE11" i="1"/>
  <c r="AE10" i="1"/>
  <c r="AF10" i="1"/>
  <c r="AC72" i="1"/>
  <c r="AC120" i="1" s="1"/>
  <c r="AB116" i="1"/>
  <c r="AH116" i="1" s="1"/>
  <c r="AG116" i="1" s="1"/>
  <c r="AA116" i="1"/>
  <c r="Z116" i="1"/>
  <c r="Y116" i="1"/>
  <c r="X116" i="1"/>
  <c r="W116" i="1"/>
  <c r="V116" i="1"/>
  <c r="U116" i="1"/>
  <c r="T116" i="1"/>
  <c r="S116" i="1"/>
  <c r="AB114" i="1"/>
  <c r="AH114" i="1" s="1"/>
  <c r="AA114" i="1"/>
  <c r="Z114" i="1"/>
  <c r="X114" i="1"/>
  <c r="W114" i="1"/>
  <c r="V114" i="1"/>
  <c r="T114" i="1"/>
  <c r="AB117" i="1"/>
  <c r="AH117" i="1" s="1"/>
  <c r="AG117" i="1" s="1"/>
  <c r="AB115" i="1"/>
  <c r="AB112" i="1"/>
  <c r="AB101" i="1"/>
  <c r="AB96" i="1"/>
  <c r="AB88" i="1"/>
  <c r="AB83" i="1"/>
  <c r="AB71" i="1"/>
  <c r="AB63" i="1"/>
  <c r="AB52" i="1"/>
  <c r="AB38" i="1"/>
  <c r="AB13" i="1"/>
  <c r="AB16" i="1" s="1"/>
  <c r="AE120" i="8" l="1"/>
  <c r="AF120" i="8"/>
  <c r="AF117" i="1"/>
  <c r="AE117" i="1"/>
  <c r="AF116" i="1"/>
  <c r="AE116" i="1"/>
  <c r="AB90" i="1"/>
  <c r="AB118" i="1"/>
  <c r="AB72" i="1"/>
  <c r="AB120" i="1" l="1"/>
  <c r="Y63" i="1"/>
  <c r="Y38" i="1"/>
  <c r="AD13" i="1"/>
  <c r="AA13" i="1"/>
  <c r="AA16" i="1" s="1"/>
  <c r="Z13" i="1"/>
  <c r="Z16" i="1" s="1"/>
  <c r="Y13" i="1"/>
  <c r="Y16" i="1" s="1"/>
  <c r="X13" i="1"/>
  <c r="X16" i="1" s="1"/>
  <c r="W13" i="1"/>
  <c r="W16" i="1" s="1"/>
  <c r="S13" i="1"/>
  <c r="T13" i="1"/>
  <c r="V13" i="1"/>
  <c r="AH13" i="1" l="1"/>
  <c r="AF13" i="1" s="1"/>
  <c r="AD16" i="1"/>
  <c r="AA117" i="1"/>
  <c r="AA115" i="1"/>
  <c r="AA112" i="1"/>
  <c r="AA101" i="1"/>
  <c r="AA96" i="1"/>
  <c r="AA88" i="1"/>
  <c r="AA83" i="1"/>
  <c r="AA71" i="1"/>
  <c r="AA63" i="1"/>
  <c r="AA52" i="1"/>
  <c r="AA38" i="1"/>
  <c r="AG13" i="1" l="1"/>
  <c r="AE13" i="1"/>
  <c r="AA118" i="1"/>
  <c r="AA90" i="1"/>
  <c r="AA72" i="1"/>
  <c r="AA120" i="1" l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D112" i="1"/>
  <c r="B112" i="1"/>
  <c r="Z117" i="1"/>
  <c r="Z115" i="1"/>
  <c r="Z101" i="1"/>
  <c r="Z96" i="1"/>
  <c r="Z88" i="1"/>
  <c r="Z83" i="1"/>
  <c r="Z71" i="1"/>
  <c r="Z63" i="1"/>
  <c r="Z52" i="1"/>
  <c r="Z38" i="1"/>
  <c r="AH112" i="1" l="1"/>
  <c r="AG112" i="1" s="1"/>
  <c r="Z72" i="1"/>
  <c r="Z90" i="1"/>
  <c r="Z118" i="1"/>
  <c r="AD63" i="1"/>
  <c r="AD118" i="1"/>
  <c r="AD83" i="1"/>
  <c r="AD71" i="1"/>
  <c r="AD38" i="1"/>
  <c r="AD101" i="1"/>
  <c r="AD96" i="1"/>
  <c r="AD88" i="1"/>
  <c r="Q52" i="1"/>
  <c r="P52" i="1"/>
  <c r="V52" i="1"/>
  <c r="X52" i="1"/>
  <c r="AD52" i="1"/>
  <c r="Y52" i="1"/>
  <c r="AF112" i="1" l="1"/>
  <c r="AE112" i="1"/>
  <c r="AH88" i="1"/>
  <c r="AE88" i="1" s="1"/>
  <c r="AH101" i="1"/>
  <c r="AG101" i="1" s="1"/>
  <c r="AG96" i="1"/>
  <c r="AH96" i="1"/>
  <c r="AF96" i="1" s="1"/>
  <c r="AH83" i="1"/>
  <c r="AF83" i="1" s="1"/>
  <c r="AH118" i="1"/>
  <c r="AE118" i="1" s="1"/>
  <c r="AH71" i="1"/>
  <c r="AH63" i="1"/>
  <c r="AH52" i="1"/>
  <c r="AH38" i="1"/>
  <c r="AE38" i="1" s="1"/>
  <c r="Z120" i="1"/>
  <c r="AD9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T71" i="1"/>
  <c r="V71" i="1"/>
  <c r="X71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T63" i="1"/>
  <c r="V63" i="1"/>
  <c r="X63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T38" i="1"/>
  <c r="V38" i="1"/>
  <c r="X38" i="1"/>
  <c r="Y71" i="1"/>
  <c r="X115" i="1"/>
  <c r="W115" i="1"/>
  <c r="V115" i="1"/>
  <c r="T115" i="1"/>
  <c r="R115" i="1"/>
  <c r="Q115" i="1"/>
  <c r="P115" i="1"/>
  <c r="O115" i="1"/>
  <c r="N115" i="1"/>
  <c r="M115" i="1"/>
  <c r="L115" i="1"/>
  <c r="J115" i="1"/>
  <c r="I115" i="1"/>
  <c r="H115" i="1"/>
  <c r="G115" i="1"/>
  <c r="F115" i="1"/>
  <c r="E115" i="1"/>
  <c r="D115" i="1"/>
  <c r="C115" i="1"/>
  <c r="B115" i="1"/>
  <c r="Y115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B117" i="1"/>
  <c r="B114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B101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T96" i="1"/>
  <c r="V96" i="1"/>
  <c r="W96" i="1"/>
  <c r="X96" i="1"/>
  <c r="Y96" i="1"/>
  <c r="B96" i="1"/>
  <c r="C88" i="1"/>
  <c r="D88" i="1"/>
  <c r="E88" i="1"/>
  <c r="F88" i="1"/>
  <c r="G88" i="1"/>
  <c r="H88" i="1"/>
  <c r="I88" i="1"/>
  <c r="J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B83" i="1"/>
  <c r="B88" i="1"/>
  <c r="C13" i="1"/>
  <c r="C16" i="1" s="1"/>
  <c r="D13" i="1"/>
  <c r="D16" i="1" s="1"/>
  <c r="E13" i="1"/>
  <c r="E16" i="1" s="1"/>
  <c r="F13" i="1"/>
  <c r="F16" i="1" s="1"/>
  <c r="G13" i="1"/>
  <c r="G16" i="1" s="1"/>
  <c r="H13" i="1"/>
  <c r="H16" i="1" s="1"/>
  <c r="I13" i="1"/>
  <c r="I16" i="1" s="1"/>
  <c r="J13" i="1"/>
  <c r="J16" i="1" s="1"/>
  <c r="K13" i="1"/>
  <c r="K16" i="1" s="1"/>
  <c r="L13" i="1"/>
  <c r="L16" i="1" s="1"/>
  <c r="M13" i="1"/>
  <c r="M16" i="1" s="1"/>
  <c r="N13" i="1"/>
  <c r="N16" i="1" s="1"/>
  <c r="O13" i="1"/>
  <c r="O16" i="1" s="1"/>
  <c r="P13" i="1"/>
  <c r="P16" i="1" s="1"/>
  <c r="Q13" i="1"/>
  <c r="Q16" i="1" s="1"/>
  <c r="T16" i="1"/>
  <c r="V16" i="1"/>
  <c r="B13" i="1"/>
  <c r="B16" i="1" s="1"/>
  <c r="R93" i="1"/>
  <c r="R96" i="1" s="1"/>
  <c r="S93" i="1"/>
  <c r="S114" i="1" s="1"/>
  <c r="U93" i="1"/>
  <c r="U114" i="1" s="1"/>
  <c r="B52" i="1"/>
  <c r="AG71" i="1" l="1"/>
  <c r="AG63" i="1"/>
  <c r="AF88" i="1"/>
  <c r="AG88" i="1"/>
  <c r="AE101" i="1"/>
  <c r="AF101" i="1"/>
  <c r="AE96" i="1"/>
  <c r="AG118" i="1"/>
  <c r="AG83" i="1"/>
  <c r="AE83" i="1"/>
  <c r="AF118" i="1"/>
  <c r="AG52" i="1"/>
  <c r="AH90" i="1"/>
  <c r="AE90" i="1" s="1"/>
  <c r="AE71" i="1"/>
  <c r="AF71" i="1"/>
  <c r="AE63" i="1"/>
  <c r="AF63" i="1"/>
  <c r="AE52" i="1"/>
  <c r="AF52" i="1"/>
  <c r="AF38" i="1"/>
  <c r="AG38" i="1"/>
  <c r="AD72" i="1"/>
  <c r="I118" i="1"/>
  <c r="B90" i="1"/>
  <c r="C118" i="1"/>
  <c r="E118" i="1"/>
  <c r="T118" i="1"/>
  <c r="P118" i="1"/>
  <c r="O118" i="1"/>
  <c r="X118" i="1"/>
  <c r="X90" i="1"/>
  <c r="T90" i="1"/>
  <c r="P90" i="1"/>
  <c r="L90" i="1"/>
  <c r="K72" i="1"/>
  <c r="G118" i="1"/>
  <c r="Y118" i="1"/>
  <c r="Q118" i="1"/>
  <c r="M118" i="1"/>
  <c r="W118" i="1"/>
  <c r="G90" i="1"/>
  <c r="C90" i="1"/>
  <c r="H118" i="1"/>
  <c r="D118" i="1"/>
  <c r="L118" i="1"/>
  <c r="G72" i="1"/>
  <c r="C72" i="1"/>
  <c r="O72" i="1"/>
  <c r="Y90" i="1"/>
  <c r="U90" i="1"/>
  <c r="Q90" i="1"/>
  <c r="M90" i="1"/>
  <c r="H90" i="1"/>
  <c r="D90" i="1"/>
  <c r="T72" i="1"/>
  <c r="P72" i="1"/>
  <c r="L72" i="1"/>
  <c r="H72" i="1"/>
  <c r="D72" i="1"/>
  <c r="W90" i="1"/>
  <c r="S90" i="1"/>
  <c r="O90" i="1"/>
  <c r="J90" i="1"/>
  <c r="F90" i="1"/>
  <c r="R114" i="1"/>
  <c r="R118" i="1" s="1"/>
  <c r="B118" i="1"/>
  <c r="F118" i="1"/>
  <c r="J118" i="1"/>
  <c r="N118" i="1"/>
  <c r="V118" i="1"/>
  <c r="V72" i="1"/>
  <c r="N72" i="1"/>
  <c r="J72" i="1"/>
  <c r="F72" i="1"/>
  <c r="B72" i="1"/>
  <c r="V90" i="1"/>
  <c r="R90" i="1"/>
  <c r="N90" i="1"/>
  <c r="I90" i="1"/>
  <c r="E90" i="1"/>
  <c r="Q72" i="1"/>
  <c r="M72" i="1"/>
  <c r="I72" i="1"/>
  <c r="E72" i="1"/>
  <c r="AG90" i="1" l="1"/>
  <c r="AF90" i="1"/>
  <c r="AH72" i="1"/>
  <c r="AG72" i="1" s="1"/>
  <c r="B120" i="1"/>
  <c r="AD120" i="1"/>
  <c r="Y72" i="1"/>
  <c r="Q120" i="1"/>
  <c r="H120" i="1"/>
  <c r="X72" i="1"/>
  <c r="E120" i="1"/>
  <c r="I120" i="1"/>
  <c r="T120" i="1"/>
  <c r="C120" i="1"/>
  <c r="L120" i="1"/>
  <c r="O120" i="1"/>
  <c r="F120" i="1"/>
  <c r="P120" i="1"/>
  <c r="M120" i="1"/>
  <c r="G120" i="1"/>
  <c r="D120" i="1"/>
  <c r="V120" i="1"/>
  <c r="J120" i="1"/>
  <c r="N120" i="1"/>
  <c r="AE72" i="1" l="1"/>
  <c r="AF72" i="1"/>
  <c r="Y120" i="1"/>
  <c r="X120" i="1"/>
  <c r="W35" i="1"/>
  <c r="W33" i="1"/>
  <c r="W32" i="1"/>
  <c r="W31" i="1"/>
  <c r="W48" i="1"/>
  <c r="W28" i="1"/>
  <c r="W59" i="1"/>
  <c r="W67" i="1"/>
  <c r="W25" i="1"/>
  <c r="W58" i="1"/>
  <c r="W24" i="1"/>
  <c r="W22" i="1"/>
  <c r="W57" i="1"/>
  <c r="W44" i="1"/>
  <c r="W65" i="1"/>
  <c r="W20" i="1"/>
  <c r="W54" i="1"/>
  <c r="R42" i="1"/>
  <c r="U94" i="1"/>
  <c r="U21" i="1"/>
  <c r="U28" i="1"/>
  <c r="U24" i="1"/>
  <c r="U32" i="1"/>
  <c r="U26" i="1"/>
  <c r="U33" i="1"/>
  <c r="U44" i="1"/>
  <c r="U48" i="1"/>
  <c r="U22" i="1"/>
  <c r="U35" i="1"/>
  <c r="U67" i="1"/>
  <c r="U9" i="1"/>
  <c r="U13" i="1" s="1"/>
  <c r="U65" i="1"/>
  <c r="U66" i="1"/>
  <c r="U59" i="1"/>
  <c r="U20" i="1"/>
  <c r="U62" i="1"/>
  <c r="U61" i="1"/>
  <c r="U58" i="1"/>
  <c r="U54" i="1"/>
  <c r="S94" i="1"/>
  <c r="S28" i="1"/>
  <c r="S21" i="1"/>
  <c r="S46" i="1"/>
  <c r="S32" i="1"/>
  <c r="S26" i="1"/>
  <c r="S15" i="1"/>
  <c r="S33" i="1"/>
  <c r="S48" i="1"/>
  <c r="S31" i="1"/>
  <c r="S22" i="1"/>
  <c r="S35" i="1"/>
  <c r="S19" i="1"/>
  <c r="S66" i="1"/>
  <c r="S59" i="1"/>
  <c r="S20" i="1"/>
  <c r="S62" i="1"/>
  <c r="S61" i="1"/>
  <c r="S55" i="1"/>
  <c r="S58" i="1"/>
  <c r="S54" i="1"/>
  <c r="S40" i="1"/>
  <c r="R12" i="1"/>
  <c r="R13" i="1" s="1"/>
  <c r="R16" i="1" s="1"/>
  <c r="R62" i="1"/>
  <c r="R61" i="1"/>
  <c r="R48" i="1"/>
  <c r="R28" i="1"/>
  <c r="R59" i="1"/>
  <c r="R67" i="1"/>
  <c r="R26" i="1"/>
  <c r="R46" i="1"/>
  <c r="R58" i="1"/>
  <c r="R24" i="1"/>
  <c r="R66" i="1"/>
  <c r="R57" i="1"/>
  <c r="R65" i="1"/>
  <c r="R40" i="1"/>
  <c r="K86" i="1"/>
  <c r="W71" i="1" l="1"/>
  <c r="W52" i="1"/>
  <c r="R63" i="1"/>
  <c r="S16" i="1"/>
  <c r="S71" i="1"/>
  <c r="R38" i="1"/>
  <c r="R52" i="1"/>
  <c r="S115" i="1"/>
  <c r="U115" i="1"/>
  <c r="U52" i="1"/>
  <c r="S52" i="1"/>
  <c r="K88" i="1"/>
  <c r="K90" i="1" s="1"/>
  <c r="K115" i="1"/>
  <c r="K118" i="1" s="1"/>
  <c r="K120" i="1" s="1"/>
  <c r="S63" i="1"/>
  <c r="U71" i="1"/>
  <c r="W63" i="1"/>
  <c r="S38" i="1"/>
  <c r="R71" i="1"/>
  <c r="U63" i="1"/>
  <c r="U38" i="1"/>
  <c r="W38" i="1"/>
  <c r="S96" i="1"/>
  <c r="U96" i="1"/>
  <c r="S118" i="1" l="1"/>
  <c r="R72" i="1"/>
  <c r="U16" i="1"/>
  <c r="U118" i="1"/>
  <c r="S72" i="1"/>
  <c r="W72" i="1"/>
  <c r="S120" i="1" l="1"/>
  <c r="R120" i="1"/>
  <c r="U72" i="1"/>
  <c r="W120" i="1"/>
  <c r="U120" i="1" l="1"/>
</calcChain>
</file>

<file path=xl/sharedStrings.xml><?xml version="1.0" encoding="utf-8"?>
<sst xmlns="http://schemas.openxmlformats.org/spreadsheetml/2006/main" count="638" uniqueCount="169">
  <si>
    <t xml:space="preserve">   3 Year</t>
  </si>
  <si>
    <t>Accounting</t>
  </si>
  <si>
    <t>Art</t>
  </si>
  <si>
    <t>Biology</t>
  </si>
  <si>
    <t>Business Administration</t>
  </si>
  <si>
    <t>Chemistry</t>
  </si>
  <si>
    <t>Computer Science</t>
  </si>
  <si>
    <t>Conflict Analysis/Dispute Resolution</t>
  </si>
  <si>
    <t>Economics</t>
  </si>
  <si>
    <t>Early Childhood Education</t>
  </si>
  <si>
    <t>Elementary Education</t>
  </si>
  <si>
    <t>English</t>
  </si>
  <si>
    <t>Exercise Science</t>
  </si>
  <si>
    <t>Finance</t>
  </si>
  <si>
    <t>French</t>
  </si>
  <si>
    <t>Geography</t>
  </si>
  <si>
    <t>Health Education</t>
  </si>
  <si>
    <t>History</t>
  </si>
  <si>
    <t>Interdisciplinary Studies</t>
  </si>
  <si>
    <t>International Studies</t>
  </si>
  <si>
    <t>Management</t>
  </si>
  <si>
    <t>Marketing</t>
  </si>
  <si>
    <t>Mathematics</t>
  </si>
  <si>
    <t>Music</t>
  </si>
  <si>
    <t>Philosophy</t>
  </si>
  <si>
    <t>Physical Education</t>
  </si>
  <si>
    <t>Physics</t>
  </si>
  <si>
    <t>Political Science</t>
  </si>
  <si>
    <t>Psychology</t>
  </si>
  <si>
    <t>Respiratory Therapy</t>
  </si>
  <si>
    <t>Social Work</t>
  </si>
  <si>
    <t>Sociology</t>
  </si>
  <si>
    <t>Spanish</t>
  </si>
  <si>
    <t>Theatre</t>
  </si>
  <si>
    <t>Masters</t>
  </si>
  <si>
    <t>Education, Reading Specialist</t>
  </si>
  <si>
    <t xml:space="preserve">NOTES:  </t>
  </si>
  <si>
    <r>
      <t>Average</t>
    </r>
    <r>
      <rPr>
        <b/>
        <vertAlign val="superscript"/>
        <sz val="8"/>
        <color indexed="8"/>
        <rFont val="Times New Roman"/>
        <family val="1"/>
      </rPr>
      <t>2</t>
    </r>
  </si>
  <si>
    <r>
      <t xml:space="preserve">3 </t>
    </r>
    <r>
      <rPr>
        <sz val="6"/>
        <color indexed="8"/>
        <rFont val="Times New Roman"/>
        <family val="1"/>
      </rPr>
      <t>Rules for Low Productivity;  (1) New programs exempt for 5 years, (2) Must graduate 5 students in the most recent year</t>
    </r>
  </si>
  <si>
    <r>
      <t>OR</t>
    </r>
    <r>
      <rPr>
        <b/>
        <sz val="6"/>
        <color indexed="8"/>
        <rFont val="Times New Roman"/>
        <family val="1"/>
      </rPr>
      <t xml:space="preserve"> </t>
    </r>
    <r>
      <rPr>
        <sz val="6"/>
        <color indexed="8"/>
        <rFont val="Times New Roman"/>
        <family val="1"/>
      </rPr>
      <t>15 students in the last 3 years.</t>
    </r>
  </si>
  <si>
    <t>Art (B.F.A)</t>
  </si>
  <si>
    <t>95-96</t>
  </si>
  <si>
    <t>05-06</t>
  </si>
  <si>
    <t>01-02</t>
  </si>
  <si>
    <t>02-03</t>
  </si>
  <si>
    <t>03-04</t>
  </si>
  <si>
    <t>04-05</t>
  </si>
  <si>
    <r>
      <t>Liberal Studies</t>
    </r>
    <r>
      <rPr>
        <vertAlign val="superscript"/>
        <sz val="9"/>
        <color indexed="8"/>
        <rFont val="Times New Roman"/>
        <family val="1"/>
      </rPr>
      <t>4</t>
    </r>
  </si>
  <si>
    <r>
      <t>Leisure Studies</t>
    </r>
    <r>
      <rPr>
        <vertAlign val="superscript"/>
        <sz val="9"/>
        <color indexed="8"/>
        <rFont val="Times New Roman"/>
        <family val="1"/>
      </rPr>
      <t>4</t>
    </r>
  </si>
  <si>
    <r>
      <t>Physical Science</t>
    </r>
    <r>
      <rPr>
        <vertAlign val="superscript"/>
        <sz val="9"/>
        <color indexed="8"/>
        <rFont val="Times New Roman"/>
        <family val="1"/>
      </rPr>
      <t>4</t>
    </r>
  </si>
  <si>
    <r>
      <t>Social Science</t>
    </r>
    <r>
      <rPr>
        <vertAlign val="superscript"/>
        <sz val="9"/>
        <color indexed="8"/>
        <rFont val="Times New Roman"/>
        <family val="1"/>
      </rPr>
      <t>4</t>
    </r>
  </si>
  <si>
    <t>96-97</t>
  </si>
  <si>
    <t>97-98</t>
  </si>
  <si>
    <t>98-99</t>
  </si>
  <si>
    <t>99-00</t>
  </si>
  <si>
    <t>00-01</t>
  </si>
  <si>
    <t>06-07</t>
  </si>
  <si>
    <t>07-08</t>
  </si>
  <si>
    <t>English for Speakers of Other Languages</t>
  </si>
  <si>
    <t>ESOL</t>
  </si>
  <si>
    <t>08-09</t>
  </si>
  <si>
    <t>Post-Baccalaureate Certificate</t>
  </si>
  <si>
    <t>Environmental Studies</t>
  </si>
  <si>
    <t>09-10</t>
  </si>
  <si>
    <t>Most Degrees Awarded</t>
  </si>
  <si>
    <t>Low Productivity Programs</t>
  </si>
  <si>
    <t>Earth Science</t>
  </si>
  <si>
    <t>10-11</t>
  </si>
  <si>
    <t>11-12</t>
  </si>
  <si>
    <t>Latitude, Longitude</t>
  </si>
  <si>
    <t>38.345157,-75.605421</t>
  </si>
  <si>
    <t>12-13</t>
  </si>
  <si>
    <t>13-14</t>
  </si>
  <si>
    <t>14-15</t>
  </si>
  <si>
    <t>15-16</t>
  </si>
  <si>
    <t>Information Systems</t>
  </si>
  <si>
    <t>16-17</t>
  </si>
  <si>
    <t>Medical Laboratory Science</t>
  </si>
  <si>
    <t>17-18</t>
  </si>
  <si>
    <t>School and Degree</t>
  </si>
  <si>
    <t>UNDERGRADUATE</t>
  </si>
  <si>
    <t>College of Health and Human Services</t>
  </si>
  <si>
    <t>School of Health Sciences</t>
  </si>
  <si>
    <t>Health Sciences Subtotal</t>
  </si>
  <si>
    <t>School of Nursing</t>
  </si>
  <si>
    <t>School of Social Work B.A.S.W.</t>
  </si>
  <si>
    <t>College of Health and Human Services Total</t>
  </si>
  <si>
    <t>Fulton School of Liberal Arts</t>
  </si>
  <si>
    <t>Fulton Subtotal</t>
  </si>
  <si>
    <t>Henson School of Science &amp; Technology</t>
  </si>
  <si>
    <t>Henson Subtotal</t>
  </si>
  <si>
    <t>Perdue School of Business</t>
  </si>
  <si>
    <t>Perdue Subtotal</t>
  </si>
  <si>
    <t>Seidel School of Education</t>
  </si>
  <si>
    <t>Seidel Subtotal</t>
  </si>
  <si>
    <t xml:space="preserve">  TOTAL Baccalaureate Degrees Awarded</t>
  </si>
  <si>
    <t>GRADUATE</t>
  </si>
  <si>
    <t>94-95</t>
  </si>
  <si>
    <r>
      <t xml:space="preserve">Athletic Training M.S.A.T. </t>
    </r>
    <r>
      <rPr>
        <sz val="8"/>
        <color indexed="8"/>
        <rFont val="Times New Roman"/>
        <family val="1"/>
      </rPr>
      <t>(new in 2016)</t>
    </r>
  </si>
  <si>
    <t>Master of Science in Nursing</t>
  </si>
  <si>
    <r>
      <t>Doctorate of Nursing Practice</t>
    </r>
    <r>
      <rPr>
        <sz val="8"/>
        <color indexed="8"/>
        <rFont val="Times New Roman"/>
        <family val="1"/>
      </rPr>
      <t xml:space="preserve"> (new in 2012)</t>
    </r>
  </si>
  <si>
    <t>School of Nursing Subtotal</t>
  </si>
  <si>
    <t>School of Social Work M.S.W.</t>
  </si>
  <si>
    <t>English for Speakers of Other Languages P.B.C.</t>
  </si>
  <si>
    <t>English M.A.</t>
  </si>
  <si>
    <t>History M.A.</t>
  </si>
  <si>
    <r>
      <t xml:space="preserve">Applied Biology M.S. </t>
    </r>
    <r>
      <rPr>
        <sz val="8"/>
        <color indexed="8"/>
        <rFont val="Times New Roman"/>
        <family val="1"/>
      </rPr>
      <t>(new in 2010)</t>
    </r>
  </si>
  <si>
    <t>GIS Management M.S.</t>
  </si>
  <si>
    <t>Mathematics Education M.S.</t>
  </si>
  <si>
    <t>Perdue School of Business M.B.A.</t>
  </si>
  <si>
    <t>Health Care Management P.B.C.</t>
  </si>
  <si>
    <t>Education, M.A. in Teaching</t>
  </si>
  <si>
    <t>Post-Master's Certificates</t>
  </si>
  <si>
    <t>Doctoral</t>
  </si>
  <si>
    <t>Graduate Degrees Awarded by Type</t>
  </si>
  <si>
    <t xml:space="preserve">  TOTAL Graduate Level Degrees Awarded</t>
  </si>
  <si>
    <t>Salisbury University TOTAL Degrees Awarded</t>
  </si>
  <si>
    <t>1-year change</t>
  </si>
  <si>
    <t>5-year change</t>
  </si>
  <si>
    <t>10-year change</t>
  </si>
  <si>
    <r>
      <t xml:space="preserve"> 1</t>
    </r>
    <r>
      <rPr>
        <sz val="6"/>
        <color indexed="8"/>
        <rFont val="Times New Roman"/>
        <family val="1"/>
      </rPr>
      <t>Percent change is omitted for programs that have awarded a three-year average of 20 degrees or less.</t>
    </r>
  </si>
  <si>
    <r>
      <t xml:space="preserve">Athletic Training </t>
    </r>
    <r>
      <rPr>
        <sz val="8"/>
        <color indexed="8"/>
        <rFont val="Times New Roman"/>
        <family val="1"/>
      </rPr>
      <t>(UG program suspended, but not discontinued)</t>
    </r>
  </si>
  <si>
    <r>
      <t>Environmental Health (P</t>
    </r>
    <r>
      <rPr>
        <sz val="8"/>
        <color indexed="8"/>
        <rFont val="Times New Roman"/>
        <family val="1"/>
      </rPr>
      <t>rogram suspended, but not discontinued)</t>
    </r>
  </si>
  <si>
    <r>
      <t xml:space="preserve">Business Economics </t>
    </r>
    <r>
      <rPr>
        <sz val="8"/>
        <color indexed="8"/>
        <rFont val="Times New Roman"/>
        <family val="1"/>
      </rPr>
      <t>(new in 2014)</t>
    </r>
  </si>
  <si>
    <r>
      <t xml:space="preserve">International Business </t>
    </r>
    <r>
      <rPr>
        <sz val="8"/>
        <color indexed="8"/>
        <rFont val="Times New Roman"/>
        <family val="1"/>
      </rPr>
      <t>(new in 2013)</t>
    </r>
  </si>
  <si>
    <r>
      <t xml:space="preserve">Curriculum Theory &amp; Instruction Ed.D. </t>
    </r>
    <r>
      <rPr>
        <sz val="8"/>
        <color indexed="8"/>
        <rFont val="Times New Roman"/>
        <family val="1"/>
      </rPr>
      <t>(new in 2014)</t>
    </r>
  </si>
  <si>
    <r>
      <t>2</t>
    </r>
    <r>
      <rPr>
        <sz val="6"/>
        <color indexed="8"/>
        <rFont val="Times New Roman"/>
        <family val="1"/>
      </rPr>
      <t>Three-year average is not calculated for new programs.</t>
    </r>
  </si>
  <si>
    <t>18-19</t>
  </si>
  <si>
    <t>Educational Leadership Masters</t>
  </si>
  <si>
    <t>Educational Leadership P.M.C.</t>
  </si>
  <si>
    <t>Upper Division Certicates Awarded</t>
  </si>
  <si>
    <t>Fraud and Forensic Accounting (new in Fall 2017)</t>
  </si>
  <si>
    <t>Urban Planning (new in 2017)</t>
  </si>
  <si>
    <t>19-20</t>
  </si>
  <si>
    <r>
      <t>Outdoor Educational Leadership</t>
    </r>
    <r>
      <rPr>
        <sz val="8"/>
        <color rgb="FF000000"/>
        <rFont val="Times New Roman"/>
        <family val="1"/>
      </rPr>
      <t xml:space="preserve"> (new in 2019)</t>
    </r>
  </si>
  <si>
    <t>International Business</t>
  </si>
  <si>
    <t>20-21</t>
  </si>
  <si>
    <t>Integrated Science (new in 2020)</t>
  </si>
  <si>
    <r>
      <t xml:space="preserve">Health and Human Performance M.S. </t>
    </r>
    <r>
      <rPr>
        <sz val="8"/>
        <color rgb="FF000000"/>
        <rFont val="Times New Roman"/>
        <family val="1"/>
      </rPr>
      <t>(formerly Applied Health Physiology)</t>
    </r>
  </si>
  <si>
    <r>
      <t xml:space="preserve">Public Health </t>
    </r>
    <r>
      <rPr>
        <sz val="8"/>
        <color indexed="8"/>
        <rFont val="Times New Roman"/>
        <family val="1"/>
      </rPr>
      <t>(formerly Commmunity Health; previously Health Education, transitioned 2014)</t>
    </r>
  </si>
  <si>
    <t>Business Economics</t>
  </si>
  <si>
    <t>Communication</t>
  </si>
  <si>
    <t>Conflict Analysis &amp; Dispute Resolution M.A.</t>
  </si>
  <si>
    <t>21-22</t>
  </si>
  <si>
    <t>Higher Education P.B.C.</t>
  </si>
  <si>
    <t>Education, Cirriculum &amp; Instruction</t>
  </si>
  <si>
    <t>Nursing</t>
  </si>
  <si>
    <t>Literacy Educator P.M.C.</t>
  </si>
  <si>
    <r>
      <t xml:space="preserve">   3 Year Average</t>
    </r>
    <r>
      <rPr>
        <b/>
        <sz val="8"/>
        <color indexed="8"/>
        <rFont val="Calibri"/>
        <family val="2"/>
      </rPr>
      <t>²</t>
    </r>
  </si>
  <si>
    <t>&lt;5</t>
  </si>
  <si>
    <t>Transitioned to PHLT</t>
  </si>
  <si>
    <t>Discontinued</t>
  </si>
  <si>
    <t xml:space="preserve">French </t>
  </si>
  <si>
    <t xml:space="preserve">Music </t>
  </si>
  <si>
    <t>Least Degrees Awarded (five degrees or less)</t>
  </si>
  <si>
    <t>&lt;15 last 3 years</t>
  </si>
  <si>
    <t>22-23</t>
  </si>
  <si>
    <t>Highlighted Programs:  Undergraduate Degrees Awarded 2022-23</t>
  </si>
  <si>
    <t>Table 3:              Degrees Awarded Alphabetically by College, School, and Program: AY 2012-13, AY 2017-18 to AY 2022-23</t>
  </si>
  <si>
    <t>Data Science (new in 2020)</t>
  </si>
  <si>
    <t>Table 3:                            Degrees Awarded Alphabetically by College, School, and Program: AY 2012-13, AY 2017-18 to AY 2022-23</t>
  </si>
  <si>
    <t>N/A - new program</t>
  </si>
  <si>
    <t>Exercuse Science</t>
  </si>
  <si>
    <t>New program &lt;5 years</t>
  </si>
  <si>
    <t>Suspended</t>
  </si>
  <si>
    <t>RANK</t>
  </si>
  <si>
    <t>Productivity</t>
  </si>
  <si>
    <t>Table 3:             Degrees Awarded Alphabetically by College, School, and Program: AY 2012-13, AY 2017-18 to AY 2022-23</t>
  </si>
  <si>
    <t>Urban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</si>
</sst>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0" x14ac:knownFonts="1">
    <font>
      <sz val="8"/>
      <name val="Arial"/>
    </font>
    <font>
      <b/>
      <sz val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7.5"/>
      <color indexed="8"/>
      <name val="Times New Roman"/>
      <family val="1"/>
    </font>
    <font>
      <b/>
      <sz val="8"/>
      <color indexed="8"/>
      <name val="Times New Roman"/>
      <family val="1"/>
    </font>
    <font>
      <b/>
      <vertAlign val="superscript"/>
      <sz val="8"/>
      <color indexed="8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6"/>
      <color indexed="8"/>
      <name val="Times New Roman"/>
      <family val="1"/>
    </font>
    <font>
      <vertAlign val="superscript"/>
      <sz val="6"/>
      <color indexed="8"/>
      <name val="Times New Roman"/>
      <family val="1"/>
    </font>
    <font>
      <b/>
      <sz val="6"/>
      <color indexed="8"/>
      <name val="Times New Roman"/>
      <family val="1"/>
    </font>
    <font>
      <b/>
      <u/>
      <sz val="6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vertAlign val="superscript"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6"/>
      <color indexed="8"/>
      <name val="Times New Roman"/>
      <family val="1"/>
    </font>
    <font>
      <sz val="8"/>
      <color theme="0"/>
      <name val="MS Shell Dlg 2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  <font>
      <sz val="9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sz val="8"/>
      <color rgb="FF000000"/>
      <name val="Times New Roman"/>
      <family val="1"/>
    </font>
    <font>
      <b/>
      <sz val="8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FF0000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9C57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light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8"/>
      </patternFill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2" tint="-9.9978637043366805E-2"/>
        <bgColor indexed="22"/>
      </patternFill>
    </fill>
    <fill>
      <patternFill patternType="lightGray">
        <fgColor indexed="9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hair">
        <color indexed="8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  <xf numFmtId="0" fontId="2" fillId="0" borderId="0"/>
    <xf numFmtId="0" fontId="44" fillId="43" borderId="0" applyNumberFormat="0" applyBorder="0" applyAlignment="0" applyProtection="0"/>
    <xf numFmtId="0" fontId="45" fillId="44" borderId="0" applyNumberFormat="0" applyBorder="0" applyAlignment="0" applyProtection="0"/>
    <xf numFmtId="0" fontId="49" fillId="45" borderId="0" applyNumberFormat="0" applyBorder="0" applyAlignment="0" applyProtection="0"/>
  </cellStyleXfs>
  <cellXfs count="595">
    <xf numFmtId="0" fontId="0" fillId="2" borderId="0" xfId="0" applyFill="1"/>
    <xf numFmtId="0" fontId="6" fillId="2" borderId="1" xfId="0" applyFont="1" applyFill="1" applyBorder="1" applyAlignment="1">
      <alignment horizontal="left" indent="1"/>
    </xf>
    <xf numFmtId="0" fontId="6" fillId="2" borderId="0" xfId="0" applyFont="1" applyFill="1"/>
    <xf numFmtId="0" fontId="6" fillId="3" borderId="1" xfId="0" applyFont="1" applyFill="1" applyBorder="1" applyAlignment="1">
      <alignment horizontal="left" indent="1"/>
    </xf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3" fillId="2" borderId="0" xfId="0" applyFont="1" applyFill="1"/>
    <xf numFmtId="0" fontId="15" fillId="2" borderId="0" xfId="0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Border="1"/>
    <xf numFmtId="0" fontId="1" fillId="2" borderId="0" xfId="0" applyFont="1" applyFill="1"/>
    <xf numFmtId="0" fontId="18" fillId="2" borderId="0" xfId="0" applyFont="1" applyFill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22" fillId="2" borderId="0" xfId="0" applyFont="1" applyFill="1" applyAlignment="1">
      <alignment vertical="center"/>
    </xf>
    <xf numFmtId="0" fontId="22" fillId="2" borderId="0" xfId="0" applyFont="1" applyFill="1"/>
    <xf numFmtId="0" fontId="15" fillId="2" borderId="0" xfId="0" applyFont="1" applyFill="1"/>
    <xf numFmtId="0" fontId="6" fillId="0" borderId="1" xfId="0" applyFont="1" applyFill="1" applyBorder="1" applyAlignment="1">
      <alignment horizontal="left" indent="1"/>
    </xf>
    <xf numFmtId="0" fontId="6" fillId="0" borderId="12" xfId="0" applyFont="1" applyFill="1" applyBorder="1" applyAlignment="1">
      <alignment horizontal="left" indent="1"/>
    </xf>
    <xf numFmtId="0" fontId="6" fillId="2" borderId="0" xfId="0" applyFont="1" applyFill="1" applyBorder="1"/>
    <xf numFmtId="0" fontId="1" fillId="2" borderId="0" xfId="0" applyFont="1" applyFill="1" applyBorder="1"/>
    <xf numFmtId="41" fontId="11" fillId="12" borderId="11" xfId="0" applyNumberFormat="1" applyFont="1" applyFill="1" applyBorder="1" applyAlignment="1"/>
    <xf numFmtId="41" fontId="11" fillId="0" borderId="11" xfId="0" applyNumberFormat="1" applyFont="1" applyFill="1" applyBorder="1" applyAlignment="1"/>
    <xf numFmtId="41" fontId="7" fillId="3" borderId="0" xfId="0" applyNumberFormat="1" applyFont="1" applyFill="1"/>
    <xf numFmtId="49" fontId="12" fillId="12" borderId="23" xfId="0" quotePrefix="1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left" indent="1"/>
    </xf>
    <xf numFmtId="0" fontId="6" fillId="3" borderId="12" xfId="0" applyFont="1" applyFill="1" applyBorder="1" applyAlignment="1">
      <alignment horizontal="left" indent="1"/>
    </xf>
    <xf numFmtId="41" fontId="11" fillId="0" borderId="25" xfId="0" applyNumberFormat="1" applyFont="1" applyFill="1" applyBorder="1" applyAlignment="1"/>
    <xf numFmtId="41" fontId="11" fillId="12" borderId="25" xfId="0" applyNumberFormat="1" applyFont="1" applyFill="1" applyBorder="1" applyAlignment="1"/>
    <xf numFmtId="0" fontId="0" fillId="2" borderId="0" xfId="0" applyFill="1" applyAlignment="1"/>
    <xf numFmtId="0" fontId="7" fillId="2" borderId="8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indent="1"/>
    </xf>
    <xf numFmtId="0" fontId="6" fillId="2" borderId="35" xfId="0" applyFont="1" applyFill="1" applyBorder="1" applyAlignment="1">
      <alignment horizontal="left" indent="1"/>
    </xf>
    <xf numFmtId="0" fontId="26" fillId="19" borderId="34" xfId="0" applyFont="1" applyFill="1" applyBorder="1" applyAlignment="1">
      <alignment horizontal="left"/>
    </xf>
    <xf numFmtId="0" fontId="27" fillId="20" borderId="36" xfId="0" applyFont="1" applyFill="1" applyBorder="1" applyAlignment="1"/>
    <xf numFmtId="0" fontId="2" fillId="20" borderId="36" xfId="0" applyFont="1" applyFill="1" applyBorder="1" applyAlignment="1"/>
    <xf numFmtId="0" fontId="2" fillId="21" borderId="36" xfId="0" applyFont="1" applyFill="1" applyBorder="1" applyAlignment="1"/>
    <xf numFmtId="0" fontId="28" fillId="20" borderId="36" xfId="0" applyFont="1" applyFill="1" applyBorder="1" applyAlignment="1"/>
    <xf numFmtId="0" fontId="28" fillId="21" borderId="36" xfId="0" applyFont="1" applyFill="1" applyBorder="1" applyAlignment="1"/>
    <xf numFmtId="0" fontId="28" fillId="19" borderId="36" xfId="0" applyFont="1" applyFill="1" applyBorder="1" applyAlignment="1"/>
    <xf numFmtId="0" fontId="29" fillId="19" borderId="37" xfId="0" applyFont="1" applyFill="1" applyBorder="1" applyAlignment="1"/>
    <xf numFmtId="0" fontId="29" fillId="2" borderId="0" xfId="0" applyFont="1" applyFill="1"/>
    <xf numFmtId="0" fontId="20" fillId="2" borderId="0" xfId="0" applyFont="1" applyFill="1"/>
    <xf numFmtId="0" fontId="26" fillId="23" borderId="34" xfId="0" applyFont="1" applyFill="1" applyBorder="1" applyAlignment="1">
      <alignment horizontal="left"/>
    </xf>
    <xf numFmtId="41" fontId="11" fillId="24" borderId="36" xfId="0" applyNumberFormat="1" applyFont="1" applyFill="1" applyBorder="1" applyAlignment="1"/>
    <xf numFmtId="41" fontId="32" fillId="24" borderId="36" xfId="0" applyNumberFormat="1" applyFont="1" applyFill="1" applyBorder="1" applyAlignment="1"/>
    <xf numFmtId="41" fontId="12" fillId="24" borderId="36" xfId="0" applyNumberFormat="1" applyFont="1" applyFill="1" applyBorder="1" applyAlignment="1"/>
    <xf numFmtId="9" fontId="12" fillId="23" borderId="36" xfId="1" applyFont="1" applyFill="1" applyBorder="1" applyAlignment="1"/>
    <xf numFmtId="41" fontId="12" fillId="23" borderId="36" xfId="0" applyNumberFormat="1" applyFont="1" applyFill="1" applyBorder="1" applyAlignment="1"/>
    <xf numFmtId="9" fontId="29" fillId="23" borderId="37" xfId="1" applyFont="1" applyFill="1" applyBorder="1" applyAlignment="1"/>
    <xf numFmtId="0" fontId="7" fillId="24" borderId="35" xfId="0" applyFont="1" applyFill="1" applyBorder="1" applyAlignment="1">
      <alignment horizontal="left"/>
    </xf>
    <xf numFmtId="41" fontId="12" fillId="24" borderId="0" xfId="0" applyNumberFormat="1" applyFont="1" applyFill="1" applyBorder="1" applyAlignment="1"/>
    <xf numFmtId="0" fontId="7" fillId="26" borderId="34" xfId="0" applyFont="1" applyFill="1" applyBorder="1" applyAlignment="1">
      <alignment horizontal="left"/>
    </xf>
    <xf numFmtId="41" fontId="11" fillId="27" borderId="36" xfId="0" applyNumberFormat="1" applyFont="1" applyFill="1" applyBorder="1" applyAlignment="1"/>
    <xf numFmtId="41" fontId="32" fillId="27" borderId="36" xfId="0" applyNumberFormat="1" applyFont="1" applyFill="1" applyBorder="1" applyAlignment="1"/>
    <xf numFmtId="41" fontId="12" fillId="27" borderId="36" xfId="0" applyNumberFormat="1" applyFont="1" applyFill="1" applyBorder="1" applyAlignment="1"/>
    <xf numFmtId="9" fontId="12" fillId="26" borderId="36" xfId="1" applyFont="1" applyFill="1" applyBorder="1" applyAlignment="1"/>
    <xf numFmtId="164" fontId="12" fillId="26" borderId="36" xfId="1" applyNumberFormat="1" applyFont="1" applyFill="1" applyBorder="1" applyAlignment="1"/>
    <xf numFmtId="0" fontId="7" fillId="30" borderId="34" xfId="0" applyFont="1" applyFill="1" applyBorder="1" applyAlignment="1">
      <alignment horizontal="left"/>
    </xf>
    <xf numFmtId="0" fontId="33" fillId="2" borderId="0" xfId="0" applyFont="1" applyFill="1"/>
    <xf numFmtId="41" fontId="12" fillId="33" borderId="20" xfId="0" applyNumberFormat="1" applyFont="1" applyFill="1" applyBorder="1" applyAlignment="1"/>
    <xf numFmtId="0" fontId="7" fillId="0" borderId="38" xfId="0" applyFont="1" applyFill="1" applyBorder="1" applyAlignment="1">
      <alignment horizontal="left"/>
    </xf>
    <xf numFmtId="41" fontId="12" fillId="0" borderId="38" xfId="0" applyNumberFormat="1" applyFont="1" applyFill="1" applyBorder="1" applyAlignment="1"/>
    <xf numFmtId="41" fontId="20" fillId="0" borderId="38" xfId="0" applyNumberFormat="1" applyFont="1" applyFill="1" applyBorder="1" applyAlignment="1"/>
    <xf numFmtId="9" fontId="12" fillId="0" borderId="38" xfId="1" applyFont="1" applyFill="1" applyBorder="1" applyAlignment="1"/>
    <xf numFmtId="9" fontId="20" fillId="0" borderId="38" xfId="1" applyFont="1" applyFill="1" applyBorder="1" applyAlignment="1"/>
    <xf numFmtId="0" fontId="34" fillId="2" borderId="0" xfId="3" applyFont="1" applyFill="1" applyBorder="1" applyAlignment="1">
      <alignment horizontal="left"/>
    </xf>
    <xf numFmtId="0" fontId="35" fillId="2" borderId="0" xfId="3" applyFont="1" applyFill="1" applyBorder="1" applyAlignment="1">
      <alignment horizontal="left"/>
    </xf>
    <xf numFmtId="0" fontId="36" fillId="2" borderId="0" xfId="3" applyFont="1" applyFill="1" applyBorder="1" applyAlignment="1">
      <alignment horizontal="left"/>
    </xf>
    <xf numFmtId="0" fontId="35" fillId="0" borderId="0" xfId="3" applyFont="1" applyFill="1" applyBorder="1" applyAlignment="1">
      <alignment horizontal="left"/>
    </xf>
    <xf numFmtId="0" fontId="35" fillId="6" borderId="0" xfId="3" applyFont="1" applyFill="1" applyBorder="1" applyAlignment="1">
      <alignment horizontal="left"/>
    </xf>
    <xf numFmtId="164" fontId="35" fillId="2" borderId="0" xfId="4" applyNumberFormat="1" applyFont="1" applyFill="1" applyBorder="1" applyAlignment="1">
      <alignment horizontal="left"/>
    </xf>
    <xf numFmtId="0" fontId="37" fillId="2" borderId="0" xfId="3" applyFont="1" applyFill="1" applyBorder="1" applyAlignment="1">
      <alignment horizontal="centerContinuous"/>
    </xf>
    <xf numFmtId="0" fontId="37" fillId="2" borderId="7" xfId="3" applyFont="1" applyFill="1" applyBorder="1" applyAlignment="1"/>
    <xf numFmtId="0" fontId="7" fillId="0" borderId="39" xfId="0" applyFont="1" applyFill="1" applyBorder="1" applyAlignment="1"/>
    <xf numFmtId="41" fontId="11" fillId="3" borderId="38" xfId="0" applyNumberFormat="1" applyFont="1" applyFill="1" applyBorder="1" applyAlignment="1"/>
    <xf numFmtId="41" fontId="32" fillId="3" borderId="38" xfId="0" applyNumberFormat="1" applyFont="1" applyFill="1" applyBorder="1" applyAlignment="1"/>
    <xf numFmtId="41" fontId="12" fillId="3" borderId="38" xfId="0" applyNumberFormat="1" applyFont="1" applyFill="1" applyBorder="1" applyAlignment="1"/>
    <xf numFmtId="9" fontId="12" fillId="2" borderId="38" xfId="1" applyFont="1" applyFill="1" applyBorder="1" applyAlignment="1"/>
    <xf numFmtId="9" fontId="12" fillId="3" borderId="40" xfId="1" applyFont="1" applyFill="1" applyBorder="1" applyAlignment="1"/>
    <xf numFmtId="0" fontId="7" fillId="16" borderId="32" xfId="0" applyFont="1" applyFill="1" applyBorder="1" applyAlignment="1">
      <alignment horizontal="left"/>
    </xf>
    <xf numFmtId="41" fontId="11" fillId="35" borderId="27" xfId="0" applyNumberFormat="1" applyFont="1" applyFill="1" applyBorder="1" applyAlignment="1"/>
    <xf numFmtId="41" fontId="32" fillId="35" borderId="27" xfId="0" applyNumberFormat="1" applyFont="1" applyFill="1" applyBorder="1" applyAlignment="1"/>
    <xf numFmtId="41" fontId="11" fillId="18" borderId="27" xfId="0" applyNumberFormat="1" applyFont="1" applyFill="1" applyBorder="1" applyAlignment="1"/>
    <xf numFmtId="41" fontId="12" fillId="35" borderId="27" xfId="0" applyNumberFormat="1" applyFont="1" applyFill="1" applyBorder="1" applyAlignment="1"/>
    <xf numFmtId="9" fontId="12" fillId="16" borderId="27" xfId="1" applyFont="1" applyFill="1" applyBorder="1" applyAlignment="1"/>
    <xf numFmtId="164" fontId="12" fillId="16" borderId="27" xfId="1" applyNumberFormat="1" applyFont="1" applyFill="1" applyBorder="1" applyAlignment="1"/>
    <xf numFmtId="9" fontId="12" fillId="16" borderId="28" xfId="1" applyFont="1" applyFill="1" applyBorder="1" applyAlignment="1"/>
    <xf numFmtId="41" fontId="11" fillId="3" borderId="7" xfId="0" applyNumberFormat="1" applyFont="1" applyFill="1" applyBorder="1" applyAlignment="1"/>
    <xf numFmtId="41" fontId="32" fillId="3" borderId="7" xfId="0" applyNumberFormat="1" applyFont="1" applyFill="1" applyBorder="1" applyAlignment="1"/>
    <xf numFmtId="41" fontId="11" fillId="0" borderId="7" xfId="0" applyNumberFormat="1" applyFont="1" applyFill="1" applyBorder="1" applyAlignment="1"/>
    <xf numFmtId="41" fontId="12" fillId="3" borderId="7" xfId="0" applyNumberFormat="1" applyFont="1" applyFill="1" applyBorder="1" applyAlignment="1"/>
    <xf numFmtId="9" fontId="12" fillId="2" borderId="7" xfId="1" applyFont="1" applyFill="1" applyBorder="1" applyAlignment="1"/>
    <xf numFmtId="164" fontId="12" fillId="2" borderId="7" xfId="1" applyNumberFormat="1" applyFont="1" applyFill="1" applyBorder="1" applyAlignment="1"/>
    <xf numFmtId="9" fontId="12" fillId="2" borderId="9" xfId="1" applyFont="1" applyFill="1" applyBorder="1" applyAlignment="1"/>
    <xf numFmtId="49" fontId="6" fillId="2" borderId="11" xfId="0" applyNumberFormat="1" applyFont="1" applyFill="1" applyBorder="1" applyAlignment="1">
      <alignment horizontal="left" indent="1"/>
    </xf>
    <xf numFmtId="0" fontId="38" fillId="0" borderId="4" xfId="5" applyFont="1" applyBorder="1" applyAlignment="1">
      <alignment horizontal="left" indent="1"/>
    </xf>
    <xf numFmtId="49" fontId="6" fillId="2" borderId="11" xfId="0" applyNumberFormat="1" applyFont="1" applyFill="1" applyBorder="1" applyAlignment="1" applyProtection="1">
      <alignment horizontal="left" indent="1"/>
      <protection locked="0"/>
    </xf>
    <xf numFmtId="0" fontId="33" fillId="2" borderId="0" xfId="0" applyFont="1" applyFill="1" applyBorder="1"/>
    <xf numFmtId="41" fontId="12" fillId="22" borderId="20" xfId="0" applyNumberFormat="1" applyFont="1" applyFill="1" applyBorder="1" applyAlignment="1"/>
    <xf numFmtId="0" fontId="6" fillId="11" borderId="1" xfId="0" applyFont="1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7" fillId="17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41" fontId="12" fillId="3" borderId="23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16" fontId="12" fillId="0" borderId="23" xfId="0" quotePrefix="1" applyNumberFormat="1" applyFont="1" applyFill="1" applyBorder="1" applyAlignment="1">
      <alignment horizontal="center"/>
    </xf>
    <xf numFmtId="16" fontId="12" fillId="3" borderId="23" xfId="0" quotePrefix="1" applyNumberFormat="1" applyFont="1" applyFill="1" applyBorder="1" applyAlignment="1">
      <alignment horizontal="center"/>
    </xf>
    <xf numFmtId="49" fontId="12" fillId="0" borderId="23" xfId="0" quotePrefix="1" applyNumberFormat="1" applyFont="1" applyFill="1" applyBorder="1" applyAlignment="1">
      <alignment horizontal="center"/>
    </xf>
    <xf numFmtId="49" fontId="12" fillId="4" borderId="23" xfId="0" quotePrefix="1" applyNumberFormat="1" applyFont="1" applyFill="1" applyBorder="1" applyAlignment="1">
      <alignment horizontal="center"/>
    </xf>
    <xf numFmtId="41" fontId="12" fillId="37" borderId="11" xfId="0" applyNumberFormat="1" applyFont="1" applyFill="1" applyBorder="1" applyAlignment="1">
      <alignment horizontal="center"/>
    </xf>
    <xf numFmtId="0" fontId="27" fillId="20" borderId="7" xfId="0" applyFont="1" applyFill="1" applyBorder="1" applyAlignment="1"/>
    <xf numFmtId="0" fontId="2" fillId="20" borderId="7" xfId="0" applyFont="1" applyFill="1" applyBorder="1" applyAlignment="1"/>
    <xf numFmtId="0" fontId="2" fillId="21" borderId="7" xfId="0" applyFont="1" applyFill="1" applyBorder="1" applyAlignment="1"/>
    <xf numFmtId="0" fontId="28" fillId="20" borderId="7" xfId="0" applyFont="1" applyFill="1" applyBorder="1" applyAlignment="1"/>
    <xf numFmtId="0" fontId="28" fillId="21" borderId="7" xfId="0" applyFont="1" applyFill="1" applyBorder="1" applyAlignment="1"/>
    <xf numFmtId="0" fontId="28" fillId="19" borderId="7" xfId="0" applyFont="1" applyFill="1" applyBorder="1" applyAlignment="1"/>
    <xf numFmtId="164" fontId="28" fillId="19" borderId="7" xfId="1" applyNumberFormat="1" applyFont="1" applyFill="1" applyBorder="1" applyAlignment="1"/>
    <xf numFmtId="0" fontId="26" fillId="19" borderId="8" xfId="0" applyFont="1" applyFill="1" applyBorder="1" applyAlignment="1">
      <alignment horizontal="left"/>
    </xf>
    <xf numFmtId="0" fontId="4" fillId="2" borderId="7" xfId="0" applyFont="1" applyFill="1" applyBorder="1" applyAlignment="1"/>
    <xf numFmtId="0" fontId="5" fillId="2" borderId="7" xfId="0" applyFont="1" applyFill="1" applyBorder="1" applyAlignment="1"/>
    <xf numFmtId="0" fontId="5" fillId="3" borderId="7" xfId="0" applyFont="1" applyFill="1" applyBorder="1" applyAlignment="1"/>
    <xf numFmtId="0" fontId="4" fillId="3" borderId="7" xfId="0" applyFont="1" applyFill="1" applyBorder="1" applyAlignment="1"/>
    <xf numFmtId="0" fontId="4" fillId="0" borderId="7" xfId="0" applyFont="1" applyFill="1" applyBorder="1" applyAlignment="1"/>
    <xf numFmtId="0" fontId="5" fillId="0" borderId="7" xfId="0" applyFont="1" applyFill="1" applyBorder="1" applyAlignment="1"/>
    <xf numFmtId="0" fontId="7" fillId="3" borderId="4" xfId="0" applyFont="1" applyFill="1" applyBorder="1" applyAlignment="1"/>
    <xf numFmtId="0" fontId="7" fillId="0" borderId="4" xfId="0" applyFont="1" applyFill="1" applyBorder="1" applyAlignment="1"/>
    <xf numFmtId="0" fontId="6" fillId="3" borderId="4" xfId="0" applyFont="1" applyFill="1" applyBorder="1" applyAlignment="1"/>
    <xf numFmtId="0" fontId="6" fillId="0" borderId="4" xfId="0" applyFont="1" applyFill="1" applyBorder="1" applyAlignment="1"/>
    <xf numFmtId="0" fontId="7" fillId="12" borderId="4" xfId="0" applyFont="1" applyFill="1" applyBorder="1" applyAlignment="1"/>
    <xf numFmtId="0" fontId="6" fillId="12" borderId="4" xfId="0" applyFont="1" applyFill="1" applyBorder="1" applyAlignment="1"/>
    <xf numFmtId="0" fontId="7" fillId="4" borderId="4" xfId="0" applyFont="1" applyFill="1" applyBorder="1" applyAlignment="1"/>
    <xf numFmtId="41" fontId="11" fillId="2" borderId="11" xfId="0" applyNumberFormat="1" applyFont="1" applyFill="1" applyBorder="1" applyAlignment="1"/>
    <xf numFmtId="41" fontId="11" fillId="13" borderId="11" xfId="0" applyNumberFormat="1" applyFont="1" applyFill="1" applyBorder="1" applyAlignment="1"/>
    <xf numFmtId="41" fontId="12" fillId="9" borderId="11" xfId="0" applyNumberFormat="1" applyFont="1" applyFill="1" applyBorder="1" applyAlignment="1"/>
    <xf numFmtId="164" fontId="12" fillId="7" borderId="11" xfId="0" applyNumberFormat="1" applyFont="1" applyFill="1" applyBorder="1" applyAlignment="1"/>
    <xf numFmtId="41" fontId="12" fillId="3" borderId="11" xfId="0" applyNumberFormat="1" applyFont="1" applyFill="1" applyBorder="1" applyAlignment="1"/>
    <xf numFmtId="164" fontId="12" fillId="4" borderId="11" xfId="1" applyNumberFormat="1" applyFont="1" applyFill="1" applyBorder="1" applyAlignment="1"/>
    <xf numFmtId="41" fontId="11" fillId="2" borderId="25" xfId="0" applyNumberFormat="1" applyFont="1" applyFill="1" applyBorder="1" applyAlignment="1"/>
    <xf numFmtId="41" fontId="11" fillId="13" borderId="25" xfId="0" applyNumberFormat="1" applyFont="1" applyFill="1" applyBorder="1" applyAlignment="1"/>
    <xf numFmtId="41" fontId="12" fillId="9" borderId="25" xfId="0" applyNumberFormat="1" applyFont="1" applyFill="1" applyBorder="1" applyAlignment="1"/>
    <xf numFmtId="164" fontId="12" fillId="7" borderId="25" xfId="0" applyNumberFormat="1" applyFont="1" applyFill="1" applyBorder="1" applyAlignment="1"/>
    <xf numFmtId="41" fontId="12" fillId="9" borderId="41" xfId="0" applyNumberFormat="1" applyFont="1" applyFill="1" applyBorder="1" applyAlignment="1"/>
    <xf numFmtId="41" fontId="12" fillId="9" borderId="23" xfId="0" applyNumberFormat="1" applyFont="1" applyFill="1" applyBorder="1" applyAlignment="1"/>
    <xf numFmtId="41" fontId="11" fillId="13" borderId="23" xfId="0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41" fontId="12" fillId="9" borderId="1" xfId="0" applyNumberFormat="1" applyFont="1" applyFill="1" applyBorder="1" applyAlignment="1"/>
    <xf numFmtId="164" fontId="12" fillId="7" borderId="15" xfId="0" applyNumberFormat="1" applyFont="1" applyFill="1" applyBorder="1" applyAlignment="1"/>
    <xf numFmtId="41" fontId="12" fillId="3" borderId="5" xfId="0" applyNumberFormat="1" applyFont="1" applyFill="1" applyBorder="1" applyAlignment="1"/>
    <xf numFmtId="164" fontId="12" fillId="4" borderId="6" xfId="1" applyNumberFormat="1" applyFont="1" applyFill="1" applyBorder="1" applyAlignment="1"/>
    <xf numFmtId="0" fontId="23" fillId="2" borderId="0" xfId="0" applyFont="1" applyFill="1" applyAlignment="1"/>
    <xf numFmtId="41" fontId="11" fillId="13" borderId="24" xfId="0" applyNumberFormat="1" applyFont="1" applyFill="1" applyBorder="1" applyAlignment="1"/>
    <xf numFmtId="0" fontId="30" fillId="2" borderId="0" xfId="0" applyFont="1" applyFill="1" applyAlignment="1"/>
    <xf numFmtId="0" fontId="31" fillId="2" borderId="0" xfId="0" applyFont="1" applyFill="1" applyAlignment="1"/>
    <xf numFmtId="0" fontId="29" fillId="2" borderId="0" xfId="0" applyFont="1" applyFill="1" applyAlignment="1"/>
    <xf numFmtId="41" fontId="11" fillId="13" borderId="4" xfId="0" applyNumberFormat="1" applyFont="1" applyFill="1" applyBorder="1" applyAlignment="1"/>
    <xf numFmtId="41" fontId="11" fillId="0" borderId="4" xfId="0" applyNumberFormat="1" applyFont="1" applyFill="1" applyBorder="1" applyAlignment="1"/>
    <xf numFmtId="41" fontId="11" fillId="0" borderId="23" xfId="0" applyNumberFormat="1" applyFont="1" applyFill="1" applyBorder="1" applyAlignment="1"/>
    <xf numFmtId="0" fontId="33" fillId="2" borderId="0" xfId="0" applyFont="1" applyFill="1" applyAlignment="1"/>
    <xf numFmtId="41" fontId="11" fillId="11" borderId="24" xfId="0" applyNumberFormat="1" applyFont="1" applyFill="1" applyBorder="1" applyAlignment="1"/>
    <xf numFmtId="41" fontId="11" fillId="11" borderId="11" xfId="0" applyNumberFormat="1" applyFont="1" applyFill="1" applyBorder="1" applyAlignment="1"/>
    <xf numFmtId="0" fontId="0" fillId="2" borderId="0" xfId="0" applyFill="1" applyAlignment="1">
      <alignment horizontal="left"/>
    </xf>
    <xf numFmtId="0" fontId="7" fillId="36" borderId="32" xfId="0" applyFont="1" applyFill="1" applyBorder="1" applyAlignment="1">
      <alignment horizontal="left"/>
    </xf>
    <xf numFmtId="41" fontId="11" fillId="11" borderId="5" xfId="0" applyNumberFormat="1" applyFont="1" applyFill="1" applyBorder="1" applyAlignment="1"/>
    <xf numFmtId="41" fontId="12" fillId="10" borderId="1" xfId="0" applyNumberFormat="1" applyFont="1" applyFill="1" applyBorder="1" applyAlignment="1"/>
    <xf numFmtId="0" fontId="31" fillId="2" borderId="0" xfId="0" applyFont="1" applyFill="1" applyBorder="1" applyAlignment="1"/>
    <xf numFmtId="0" fontId="33" fillId="2" borderId="0" xfId="0" applyFont="1" applyFill="1" applyBorder="1" applyAlignment="1"/>
    <xf numFmtId="0" fontId="0" fillId="3" borderId="0" xfId="0" applyFill="1" applyAlignment="1"/>
    <xf numFmtId="0" fontId="0" fillId="3" borderId="0" xfId="0" applyFill="1" applyBorder="1" applyAlignment="1"/>
    <xf numFmtId="0" fontId="0" fillId="3" borderId="0" xfId="0" applyFont="1" applyFill="1" applyAlignment="1"/>
    <xf numFmtId="0" fontId="19" fillId="0" borderId="0" xfId="0" applyFont="1" applyFill="1" applyAlignment="1"/>
    <xf numFmtId="0" fontId="21" fillId="3" borderId="0" xfId="0" applyFont="1" applyFill="1" applyAlignment="1"/>
    <xf numFmtId="0" fontId="21" fillId="0" borderId="0" xfId="0" applyFont="1" applyFill="1" applyAlignment="1"/>
    <xf numFmtId="41" fontId="11" fillId="2" borderId="4" xfId="0" applyNumberFormat="1" applyFont="1" applyFill="1" applyBorder="1" applyAlignment="1"/>
    <xf numFmtId="41" fontId="12" fillId="9" borderId="4" xfId="0" applyNumberFormat="1" applyFont="1" applyFill="1" applyBorder="1" applyAlignment="1"/>
    <xf numFmtId="41" fontId="11" fillId="2" borderId="24" xfId="0" applyNumberFormat="1" applyFont="1" applyFill="1" applyBorder="1" applyAlignment="1"/>
    <xf numFmtId="41" fontId="11" fillId="0" borderId="24" xfId="0" applyNumberFormat="1" applyFont="1" applyFill="1" applyBorder="1" applyAlignment="1"/>
    <xf numFmtId="41" fontId="12" fillId="9" borderId="24" xfId="0" applyNumberFormat="1" applyFont="1" applyFill="1" applyBorder="1" applyAlignment="1"/>
    <xf numFmtId="0" fontId="6" fillId="2" borderId="26" xfId="0" applyFont="1" applyFill="1" applyBorder="1" applyAlignment="1">
      <alignment horizontal="left" indent="1"/>
    </xf>
    <xf numFmtId="0" fontId="7" fillId="22" borderId="20" xfId="0" applyFont="1" applyFill="1" applyBorder="1" applyAlignment="1">
      <alignment horizontal="left"/>
    </xf>
    <xf numFmtId="9" fontId="12" fillId="22" borderId="20" xfId="1" applyFont="1" applyFill="1" applyBorder="1" applyAlignment="1"/>
    <xf numFmtId="9" fontId="12" fillId="21" borderId="20" xfId="1" applyFont="1" applyFill="1" applyBorder="1" applyAlignment="1"/>
    <xf numFmtId="9" fontId="20" fillId="19" borderId="20" xfId="1" applyFont="1" applyFill="1" applyBorder="1" applyAlignment="1"/>
    <xf numFmtId="41" fontId="12" fillId="23" borderId="38" xfId="0" applyNumberFormat="1" applyFont="1" applyFill="1" applyBorder="1" applyAlignment="1"/>
    <xf numFmtId="9" fontId="29" fillId="23" borderId="40" xfId="1" applyFont="1" applyFill="1" applyBorder="1" applyAlignment="1"/>
    <xf numFmtId="41" fontId="11" fillId="2" borderId="23" xfId="0" applyNumberFormat="1" applyFont="1" applyFill="1" applyBorder="1" applyAlignment="1"/>
    <xf numFmtId="164" fontId="12" fillId="7" borderId="24" xfId="0" applyNumberFormat="1" applyFont="1" applyFill="1" applyBorder="1" applyAlignment="1"/>
    <xf numFmtId="41" fontId="12" fillId="24" borderId="43" xfId="0" applyNumberFormat="1" applyFont="1" applyFill="1" applyBorder="1" applyAlignment="1"/>
    <xf numFmtId="9" fontId="12" fillId="25" borderId="43" xfId="1" applyFont="1" applyFill="1" applyBorder="1" applyAlignment="1"/>
    <xf numFmtId="9" fontId="20" fillId="23" borderId="42" xfId="1" applyFont="1" applyFill="1" applyBorder="1" applyAlignment="1"/>
    <xf numFmtId="0" fontId="6" fillId="0" borderId="11" xfId="0" applyFont="1" applyFill="1" applyBorder="1" applyAlignment="1">
      <alignment horizontal="left" indent="1"/>
    </xf>
    <xf numFmtId="0" fontId="6" fillId="0" borderId="24" xfId="0" applyFont="1" applyFill="1" applyBorder="1" applyAlignment="1">
      <alignment horizontal="left" indent="1"/>
    </xf>
    <xf numFmtId="0" fontId="6" fillId="2" borderId="11" xfId="0" applyFont="1" applyFill="1" applyBorder="1" applyAlignment="1">
      <alignment horizontal="left" indent="1"/>
    </xf>
    <xf numFmtId="0" fontId="6" fillId="2" borderId="23" xfId="0" applyFont="1" applyFill="1" applyBorder="1" applyAlignment="1">
      <alignment horizontal="left" indent="1"/>
    </xf>
    <xf numFmtId="0" fontId="7" fillId="32" borderId="16" xfId="0" applyFont="1" applyFill="1" applyBorder="1" applyAlignment="1">
      <alignment horizontal="left"/>
    </xf>
    <xf numFmtId="0" fontId="7" fillId="33" borderId="16" xfId="0" applyFont="1" applyFill="1" applyBorder="1" applyAlignment="1">
      <alignment horizontal="left"/>
    </xf>
    <xf numFmtId="164" fontId="12" fillId="7" borderId="4" xfId="0" applyNumberFormat="1" applyFont="1" applyFill="1" applyBorder="1" applyAlignment="1"/>
    <xf numFmtId="165" fontId="12" fillId="32" borderId="20" xfId="2" applyNumberFormat="1" applyFont="1" applyFill="1" applyBorder="1" applyAlignment="1">
      <alignment horizontal="right"/>
    </xf>
    <xf numFmtId="9" fontId="12" fillId="33" borderId="20" xfId="1" applyFont="1" applyFill="1" applyBorder="1" applyAlignment="1"/>
    <xf numFmtId="9" fontId="20" fillId="34" borderId="20" xfId="1" applyFont="1" applyFill="1" applyBorder="1" applyAlignment="1"/>
    <xf numFmtId="41" fontId="12" fillId="36" borderId="41" xfId="0" applyNumberFormat="1" applyFont="1" applyFill="1" applyBorder="1" applyAlignment="1"/>
    <xf numFmtId="41" fontId="12" fillId="17" borderId="41" xfId="0" applyNumberFormat="1" applyFont="1" applyFill="1" applyBorder="1" applyAlignment="1"/>
    <xf numFmtId="49" fontId="7" fillId="36" borderId="8" xfId="0" applyNumberFormat="1" applyFont="1" applyFill="1" applyBorder="1" applyAlignment="1">
      <alignment horizontal="left"/>
    </xf>
    <xf numFmtId="41" fontId="12" fillId="36" borderId="23" xfId="0" applyNumberFormat="1" applyFont="1" applyFill="1" applyBorder="1" applyAlignment="1"/>
    <xf numFmtId="41" fontId="12" fillId="17" borderId="23" xfId="0" applyNumberFormat="1" applyFont="1" applyFill="1" applyBorder="1" applyAlignment="1"/>
    <xf numFmtId="41" fontId="11" fillId="3" borderId="11" xfId="0" applyNumberFormat="1" applyFont="1" applyFill="1" applyBorder="1" applyAlignment="1"/>
    <xf numFmtId="41" fontId="11" fillId="6" borderId="11" xfId="0" applyNumberFormat="1" applyFont="1" applyFill="1" applyBorder="1" applyAlignment="1"/>
    <xf numFmtId="41" fontId="12" fillId="8" borderId="24" xfId="0" applyNumberFormat="1" applyFont="1" applyFill="1" applyBorder="1" applyAlignment="1"/>
    <xf numFmtId="0" fontId="11" fillId="2" borderId="11" xfId="0" applyFont="1" applyFill="1" applyBorder="1" applyAlignment="1"/>
    <xf numFmtId="41" fontId="12" fillId="37" borderId="11" xfId="0" applyNumberFormat="1" applyFont="1" applyFill="1" applyBorder="1" applyAlignment="1"/>
    <xf numFmtId="41" fontId="12" fillId="38" borderId="11" xfId="0" applyNumberFormat="1" applyFont="1" applyFill="1" applyBorder="1" applyAlignment="1"/>
    <xf numFmtId="41" fontId="12" fillId="11" borderId="11" xfId="0" applyNumberFormat="1" applyFont="1" applyFill="1" applyBorder="1" applyAlignment="1"/>
    <xf numFmtId="41" fontId="12" fillId="10" borderId="11" xfId="0" applyNumberFormat="1" applyFont="1" applyFill="1" applyBorder="1" applyAlignment="1"/>
    <xf numFmtId="0" fontId="7" fillId="18" borderId="44" xfId="0" applyFont="1" applyFill="1" applyBorder="1" applyAlignment="1">
      <alignment horizontal="left"/>
    </xf>
    <xf numFmtId="0" fontId="7" fillId="17" borderId="32" xfId="0" applyFont="1" applyFill="1" applyBorder="1" applyAlignment="1">
      <alignment horizontal="left"/>
    </xf>
    <xf numFmtId="41" fontId="12" fillId="37" borderId="41" xfId="0" applyNumberFormat="1" applyFont="1" applyFill="1" applyBorder="1" applyAlignment="1"/>
    <xf numFmtId="0" fontId="7" fillId="18" borderId="16" xfId="0" applyFont="1" applyFill="1" applyBorder="1" applyAlignment="1"/>
    <xf numFmtId="41" fontId="12" fillId="18" borderId="20" xfId="0" applyNumberFormat="1" applyFont="1" applyFill="1" applyBorder="1" applyAlignment="1"/>
    <xf numFmtId="41" fontId="12" fillId="35" borderId="11" xfId="0" applyNumberFormat="1" applyFont="1" applyFill="1" applyBorder="1" applyAlignment="1"/>
    <xf numFmtId="0" fontId="7" fillId="22" borderId="16" xfId="0" applyFont="1" applyFill="1" applyBorder="1" applyAlignment="1">
      <alignment horizontal="left"/>
    </xf>
    <xf numFmtId="0" fontId="26" fillId="23" borderId="8" xfId="0" applyFont="1" applyFill="1" applyBorder="1" applyAlignment="1">
      <alignment horizontal="left"/>
    </xf>
    <xf numFmtId="0" fontId="7" fillId="24" borderId="16" xfId="0" applyFont="1" applyFill="1" applyBorder="1" applyAlignment="1">
      <alignment horizontal="left"/>
    </xf>
    <xf numFmtId="41" fontId="11" fillId="24" borderId="0" xfId="0" applyNumberFormat="1" applyFont="1" applyFill="1" applyBorder="1" applyAlignment="1"/>
    <xf numFmtId="41" fontId="32" fillId="24" borderId="0" xfId="0" applyNumberFormat="1" applyFont="1" applyFill="1" applyBorder="1" applyAlignment="1"/>
    <xf numFmtId="9" fontId="12" fillId="23" borderId="0" xfId="1" applyFont="1" applyFill="1" applyBorder="1" applyAlignment="1"/>
    <xf numFmtId="41" fontId="11" fillId="3" borderId="4" xfId="0" applyNumberFormat="1" applyFont="1" applyFill="1" applyBorder="1" applyAlignment="1"/>
    <xf numFmtId="41" fontId="11" fillId="6" borderId="4" xfId="0" applyNumberFormat="1" applyFont="1" applyFill="1" applyBorder="1" applyAlignment="1"/>
    <xf numFmtId="41" fontId="11" fillId="11" borderId="4" xfId="0" applyNumberFormat="1" applyFont="1" applyFill="1" applyBorder="1" applyAlignment="1"/>
    <xf numFmtId="41" fontId="12" fillId="8" borderId="4" xfId="0" applyNumberFormat="1" applyFont="1" applyFill="1" applyBorder="1" applyAlignment="1"/>
    <xf numFmtId="41" fontId="11" fillId="3" borderId="11" xfId="0" applyNumberFormat="1" applyFont="1" applyFill="1" applyBorder="1" applyAlignment="1">
      <alignment horizontal="right"/>
    </xf>
    <xf numFmtId="41" fontId="12" fillId="4" borderId="11" xfId="0" applyNumberFormat="1" applyFont="1" applyFill="1" applyBorder="1" applyAlignment="1"/>
    <xf numFmtId="41" fontId="12" fillId="24" borderId="20" xfId="0" applyNumberFormat="1" applyFont="1" applyFill="1" applyBorder="1" applyAlignment="1"/>
    <xf numFmtId="41" fontId="11" fillId="31" borderId="38" xfId="0" applyNumberFormat="1" applyFont="1" applyFill="1" applyBorder="1" applyAlignment="1"/>
    <xf numFmtId="41" fontId="32" fillId="31" borderId="38" xfId="0" applyNumberFormat="1" applyFont="1" applyFill="1" applyBorder="1" applyAlignment="1"/>
    <xf numFmtId="41" fontId="11" fillId="32" borderId="38" xfId="0" applyNumberFormat="1" applyFont="1" applyFill="1" applyBorder="1" applyAlignment="1"/>
    <xf numFmtId="41" fontId="12" fillId="31" borderId="38" xfId="0" applyNumberFormat="1" applyFont="1" applyFill="1" applyBorder="1" applyAlignment="1"/>
    <xf numFmtId="9" fontId="12" fillId="30" borderId="38" xfId="1" applyFont="1" applyFill="1" applyBorder="1" applyAlignment="1"/>
    <xf numFmtId="41" fontId="12" fillId="14" borderId="41" xfId="0" applyNumberFormat="1" applyFont="1" applyFill="1" applyBorder="1" applyAlignment="1"/>
    <xf numFmtId="41" fontId="12" fillId="11" borderId="4" xfId="0" applyNumberFormat="1" applyFont="1" applyFill="1" applyBorder="1" applyAlignment="1"/>
    <xf numFmtId="41" fontId="12" fillId="10" borderId="4" xfId="0" applyNumberFormat="1" applyFont="1" applyFill="1" applyBorder="1" applyAlignment="1"/>
    <xf numFmtId="0" fontId="0" fillId="2" borderId="36" xfId="0" applyFill="1" applyBorder="1" applyAlignment="1"/>
    <xf numFmtId="0" fontId="32" fillId="2" borderId="36" xfId="0" applyFont="1" applyFill="1" applyBorder="1" applyAlignment="1"/>
    <xf numFmtId="0" fontId="0" fillId="0" borderId="36" xfId="0" applyFill="1" applyBorder="1" applyAlignment="1"/>
    <xf numFmtId="0" fontId="0" fillId="6" borderId="36" xfId="0" applyFill="1" applyBorder="1" applyAlignment="1"/>
    <xf numFmtId="0" fontId="20" fillId="0" borderId="36" xfId="0" applyFont="1" applyFill="1" applyBorder="1" applyAlignment="1"/>
    <xf numFmtId="0" fontId="20" fillId="2" borderId="36" xfId="0" applyFont="1" applyFill="1" applyBorder="1" applyAlignment="1"/>
    <xf numFmtId="164" fontId="20" fillId="2" borderId="36" xfId="1" applyNumberFormat="1" applyFont="1" applyFill="1" applyBorder="1" applyAlignment="1"/>
    <xf numFmtId="0" fontId="7" fillId="37" borderId="1" xfId="0" applyFont="1" applyFill="1" applyBorder="1" applyAlignment="1">
      <alignment horizontal="right"/>
    </xf>
    <xf numFmtId="41" fontId="12" fillId="37" borderId="4" xfId="0" applyNumberFormat="1" applyFont="1" applyFill="1" applyBorder="1" applyAlignment="1">
      <alignment horizontal="right"/>
    </xf>
    <xf numFmtId="41" fontId="12" fillId="37" borderId="11" xfId="0" applyNumberFormat="1" applyFont="1" applyFill="1" applyBorder="1" applyAlignment="1">
      <alignment horizontal="right"/>
    </xf>
    <xf numFmtId="9" fontId="12" fillId="37" borderId="4" xfId="1" applyFont="1" applyFill="1" applyBorder="1" applyAlignment="1">
      <alignment horizontal="right"/>
    </xf>
    <xf numFmtId="9" fontId="12" fillId="37" borderId="11" xfId="1" applyFont="1" applyFill="1" applyBorder="1" applyAlignment="1">
      <alignment horizontal="right"/>
    </xf>
    <xf numFmtId="0" fontId="39" fillId="33" borderId="45" xfId="0" applyFont="1" applyFill="1" applyBorder="1" applyAlignment="1">
      <alignment horizontal="right"/>
    </xf>
    <xf numFmtId="41" fontId="40" fillId="33" borderId="45" xfId="0" applyNumberFormat="1" applyFont="1" applyFill="1" applyBorder="1" applyAlignment="1"/>
    <xf numFmtId="0" fontId="41" fillId="2" borderId="0" xfId="0" applyFont="1" applyFill="1"/>
    <xf numFmtId="0" fontId="11" fillId="3" borderId="11" xfId="0" applyFont="1" applyFill="1" applyBorder="1" applyAlignment="1"/>
    <xf numFmtId="0" fontId="7" fillId="30" borderId="20" xfId="0" applyFont="1" applyFill="1" applyBorder="1" applyAlignment="1">
      <alignment horizontal="left"/>
    </xf>
    <xf numFmtId="41" fontId="12" fillId="31" borderId="20" xfId="0" applyNumberFormat="1" applyFont="1" applyFill="1" applyBorder="1" applyAlignment="1"/>
    <xf numFmtId="41" fontId="12" fillId="27" borderId="45" xfId="0" applyNumberFormat="1" applyFont="1" applyFill="1" applyBorder="1" applyAlignment="1"/>
    <xf numFmtId="41" fontId="20" fillId="27" borderId="45" xfId="0" applyNumberFormat="1" applyFont="1" applyFill="1" applyBorder="1" applyAlignment="1"/>
    <xf numFmtId="165" fontId="12" fillId="26" borderId="45" xfId="2" applyNumberFormat="1" applyFont="1" applyFill="1" applyBorder="1" applyAlignment="1"/>
    <xf numFmtId="41" fontId="12" fillId="15" borderId="41" xfId="0" applyNumberFormat="1" applyFont="1" applyFill="1" applyBorder="1" applyAlignment="1"/>
    <xf numFmtId="41" fontId="12" fillId="14" borderId="4" xfId="0" applyNumberFormat="1" applyFont="1" applyFill="1" applyBorder="1" applyAlignment="1">
      <alignment horizontal="right"/>
    </xf>
    <xf numFmtId="41" fontId="12" fillId="14" borderId="11" xfId="0" applyNumberFormat="1" applyFont="1" applyFill="1" applyBorder="1" applyAlignment="1">
      <alignment horizontal="right"/>
    </xf>
    <xf numFmtId="41" fontId="12" fillId="14" borderId="20" xfId="0" applyNumberFormat="1" applyFont="1" applyFill="1" applyBorder="1" applyAlignment="1"/>
    <xf numFmtId="41" fontId="40" fillId="14" borderId="45" xfId="0" applyNumberFormat="1" applyFont="1" applyFill="1" applyBorder="1" applyAlignment="1"/>
    <xf numFmtId="165" fontId="11" fillId="2" borderId="0" xfId="2" applyNumberFormat="1" applyFont="1" applyFill="1" applyBorder="1" applyAlignment="1"/>
    <xf numFmtId="165" fontId="11" fillId="0" borderId="1" xfId="2" applyNumberFormat="1" applyFont="1" applyFill="1" applyBorder="1" applyAlignment="1"/>
    <xf numFmtId="165" fontId="11" fillId="13" borderId="1" xfId="2" applyNumberFormat="1" applyFont="1" applyFill="1" applyBorder="1" applyAlignment="1"/>
    <xf numFmtId="165" fontId="11" fillId="13" borderId="11" xfId="2" applyNumberFormat="1" applyFont="1" applyFill="1" applyBorder="1" applyAlignment="1"/>
    <xf numFmtId="165" fontId="12" fillId="11" borderId="0" xfId="2" applyNumberFormat="1" applyFont="1" applyFill="1" applyBorder="1" applyAlignment="1"/>
    <xf numFmtId="165" fontId="11" fillId="11" borderId="1" xfId="2" applyNumberFormat="1" applyFont="1" applyFill="1" applyBorder="1" applyAlignment="1"/>
    <xf numFmtId="165" fontId="11" fillId="11" borderId="11" xfId="2" applyNumberFormat="1" applyFont="1" applyFill="1" applyBorder="1" applyAlignment="1"/>
    <xf numFmtId="165" fontId="11" fillId="2" borderId="13" xfId="2" applyNumberFormat="1" applyFont="1" applyFill="1" applyBorder="1" applyAlignment="1"/>
    <xf numFmtId="165" fontId="11" fillId="2" borderId="48" xfId="2" applyNumberFormat="1" applyFont="1" applyFill="1" applyBorder="1" applyAlignment="1"/>
    <xf numFmtId="165" fontId="11" fillId="0" borderId="48" xfId="2" applyNumberFormat="1" applyFont="1" applyFill="1" applyBorder="1" applyAlignment="1"/>
    <xf numFmtId="165" fontId="11" fillId="13" borderId="48" xfId="2" applyNumberFormat="1" applyFont="1" applyFill="1" applyBorder="1" applyAlignment="1"/>
    <xf numFmtId="165" fontId="12" fillId="11" borderId="49" xfId="2" applyNumberFormat="1" applyFont="1" applyFill="1" applyBorder="1" applyAlignment="1"/>
    <xf numFmtId="165" fontId="11" fillId="11" borderId="49" xfId="2" applyNumberFormat="1" applyFont="1" applyFill="1" applyBorder="1" applyAlignment="1"/>
    <xf numFmtId="165" fontId="11" fillId="2" borderId="49" xfId="2" applyNumberFormat="1" applyFont="1" applyFill="1" applyBorder="1" applyAlignment="1"/>
    <xf numFmtId="165" fontId="11" fillId="0" borderId="49" xfId="2" applyNumberFormat="1" applyFont="1" applyFill="1" applyBorder="1" applyAlignment="1"/>
    <xf numFmtId="165" fontId="11" fillId="13" borderId="49" xfId="2" applyNumberFormat="1" applyFont="1" applyFill="1" applyBorder="1" applyAlignment="1"/>
    <xf numFmtId="165" fontId="11" fillId="2" borderId="50" xfId="2" applyNumberFormat="1" applyFont="1" applyFill="1" applyBorder="1" applyAlignment="1"/>
    <xf numFmtId="165" fontId="11" fillId="0" borderId="50" xfId="2" applyNumberFormat="1" applyFont="1" applyFill="1" applyBorder="1" applyAlignment="1"/>
    <xf numFmtId="165" fontId="11" fillId="13" borderId="50" xfId="2" applyNumberFormat="1" applyFont="1" applyFill="1" applyBorder="1" applyAlignment="1"/>
    <xf numFmtId="41" fontId="12" fillId="0" borderId="38" xfId="1" applyNumberFormat="1" applyFont="1" applyFill="1" applyBorder="1" applyAlignment="1"/>
    <xf numFmtId="41" fontId="12" fillId="37" borderId="5" xfId="0" applyNumberFormat="1" applyFont="1" applyFill="1" applyBorder="1" applyAlignment="1">
      <alignment horizontal="center"/>
    </xf>
    <xf numFmtId="41" fontId="12" fillId="18" borderId="17" xfId="0" applyNumberFormat="1" applyFont="1" applyFill="1" applyBorder="1" applyAlignment="1"/>
    <xf numFmtId="41" fontId="12" fillId="24" borderId="19" xfId="0" applyNumberFormat="1" applyFont="1" applyFill="1" applyBorder="1" applyAlignment="1"/>
    <xf numFmtId="165" fontId="12" fillId="32" borderId="17" xfId="2" applyNumberFormat="1" applyFont="1" applyFill="1" applyBorder="1" applyAlignment="1">
      <alignment horizontal="right"/>
    </xf>
    <xf numFmtId="41" fontId="12" fillId="33" borderId="17" xfId="0" applyNumberFormat="1" applyFont="1" applyFill="1" applyBorder="1" applyAlignment="1"/>
    <xf numFmtId="41" fontId="12" fillId="37" borderId="28" xfId="0" applyNumberFormat="1" applyFont="1" applyFill="1" applyBorder="1" applyAlignment="1"/>
    <xf numFmtId="41" fontId="12" fillId="35" borderId="5" xfId="0" applyNumberFormat="1" applyFont="1" applyFill="1" applyBorder="1" applyAlignment="1"/>
    <xf numFmtId="41" fontId="12" fillId="22" borderId="17" xfId="0" applyNumberFormat="1" applyFont="1" applyFill="1" applyBorder="1" applyAlignment="1"/>
    <xf numFmtId="41" fontId="12" fillId="24" borderId="17" xfId="0" applyNumberFormat="1" applyFont="1" applyFill="1" applyBorder="1" applyAlignment="1"/>
    <xf numFmtId="41" fontId="12" fillId="27" borderId="47" xfId="0" applyNumberFormat="1" applyFont="1" applyFill="1" applyBorder="1" applyAlignment="1"/>
    <xf numFmtId="41" fontId="11" fillId="11" borderId="3" xfId="0" applyNumberFormat="1" applyFont="1" applyFill="1" applyBorder="1" applyAlignment="1"/>
    <xf numFmtId="41" fontId="12" fillId="31" borderId="17" xfId="0" applyNumberFormat="1" applyFont="1" applyFill="1" applyBorder="1" applyAlignment="1"/>
    <xf numFmtId="41" fontId="12" fillId="37" borderId="3" xfId="0" applyNumberFormat="1" applyFont="1" applyFill="1" applyBorder="1" applyAlignment="1">
      <alignment horizontal="right"/>
    </xf>
    <xf numFmtId="41" fontId="12" fillId="37" borderId="5" xfId="0" applyNumberFormat="1" applyFont="1" applyFill="1" applyBorder="1" applyAlignment="1">
      <alignment horizontal="right"/>
    </xf>
    <xf numFmtId="41" fontId="40" fillId="33" borderId="47" xfId="0" applyNumberFormat="1" applyFont="1" applyFill="1" applyBorder="1" applyAlignment="1"/>
    <xf numFmtId="164" fontId="12" fillId="41" borderId="11" xfId="0" applyNumberFormat="1" applyFont="1" applyFill="1" applyBorder="1" applyAlignment="1"/>
    <xf numFmtId="164" fontId="20" fillId="12" borderId="11" xfId="1" applyNumberFormat="1" applyFont="1" applyFill="1" applyBorder="1" applyAlignment="1"/>
    <xf numFmtId="164" fontId="20" fillId="19" borderId="7" xfId="1" applyNumberFormat="1" applyFont="1" applyFill="1" applyBorder="1" applyAlignment="1"/>
    <xf numFmtId="165" fontId="12" fillId="18" borderId="20" xfId="2" applyNumberFormat="1" applyFont="1" applyFill="1" applyBorder="1" applyAlignment="1">
      <alignment horizontal="right"/>
    </xf>
    <xf numFmtId="164" fontId="12" fillId="41" borderId="24" xfId="0" applyNumberFormat="1" applyFont="1" applyFill="1" applyBorder="1" applyAlignment="1"/>
    <xf numFmtId="164" fontId="20" fillId="12" borderId="24" xfId="1" applyNumberFormat="1" applyFont="1" applyFill="1" applyBorder="1" applyAlignment="1"/>
    <xf numFmtId="164" fontId="12" fillId="41" borderId="25" xfId="0" applyNumberFormat="1" applyFont="1" applyFill="1" applyBorder="1" applyAlignment="1"/>
    <xf numFmtId="164" fontId="20" fillId="12" borderId="25" xfId="1" applyNumberFormat="1" applyFont="1" applyFill="1" applyBorder="1" applyAlignment="1"/>
    <xf numFmtId="9" fontId="29" fillId="23" borderId="36" xfId="1" applyFont="1" applyFill="1" applyBorder="1" applyAlignment="1"/>
    <xf numFmtId="9" fontId="12" fillId="24" borderId="43" xfId="1" applyFont="1" applyFill="1" applyBorder="1" applyAlignment="1"/>
    <xf numFmtId="165" fontId="20" fillId="23" borderId="20" xfId="2" applyNumberFormat="1" applyFont="1" applyFill="1" applyBorder="1" applyAlignment="1"/>
    <xf numFmtId="0" fontId="7" fillId="30" borderId="8" xfId="0" applyFont="1" applyFill="1" applyBorder="1" applyAlignment="1">
      <alignment horizontal="left"/>
    </xf>
    <xf numFmtId="41" fontId="11" fillId="31" borderId="7" xfId="0" applyNumberFormat="1" applyFont="1" applyFill="1" applyBorder="1" applyAlignment="1"/>
    <xf numFmtId="41" fontId="32" fillId="31" borderId="7" xfId="0" applyNumberFormat="1" applyFont="1" applyFill="1" applyBorder="1" applyAlignment="1"/>
    <xf numFmtId="41" fontId="11" fillId="32" borderId="7" xfId="0" applyNumberFormat="1" applyFont="1" applyFill="1" applyBorder="1" applyAlignment="1"/>
    <xf numFmtId="41" fontId="12" fillId="31" borderId="7" xfId="0" applyNumberFormat="1" applyFont="1" applyFill="1" applyBorder="1" applyAlignment="1"/>
    <xf numFmtId="9" fontId="12" fillId="30" borderId="7" xfId="1" applyFont="1" applyFill="1" applyBorder="1" applyAlignment="1"/>
    <xf numFmtId="164" fontId="12" fillId="30" borderId="7" xfId="1" applyNumberFormat="1" applyFont="1" applyFill="1" applyBorder="1" applyAlignment="1"/>
    <xf numFmtId="0" fontId="7" fillId="28" borderId="16" xfId="0" applyFont="1" applyFill="1" applyBorder="1" applyAlignment="1">
      <alignment horizontal="left"/>
    </xf>
    <xf numFmtId="41" fontId="12" fillId="28" borderId="20" xfId="0" applyNumberFormat="1" applyFont="1" applyFill="1" applyBorder="1" applyAlignment="1"/>
    <xf numFmtId="41" fontId="12" fillId="28" borderId="17" xfId="0" applyNumberFormat="1" applyFont="1" applyFill="1" applyBorder="1" applyAlignment="1"/>
    <xf numFmtId="9" fontId="12" fillId="28" borderId="20" xfId="1" applyFont="1" applyFill="1" applyBorder="1" applyAlignment="1"/>
    <xf numFmtId="9" fontId="12" fillId="29" borderId="20" xfId="1" applyFont="1" applyFill="1" applyBorder="1" applyAlignment="1"/>
    <xf numFmtId="9" fontId="20" fillId="26" borderId="20" xfId="1" applyFont="1" applyFill="1" applyBorder="1" applyAlignment="1"/>
    <xf numFmtId="165" fontId="20" fillId="26" borderId="20" xfId="2" applyNumberFormat="1" applyFont="1" applyFill="1" applyBorder="1" applyAlignment="1"/>
    <xf numFmtId="9" fontId="12" fillId="32" borderId="20" xfId="1" applyFont="1" applyFill="1" applyBorder="1" applyAlignment="1">
      <alignment horizontal="right"/>
    </xf>
    <xf numFmtId="165" fontId="20" fillId="34" borderId="20" xfId="2" applyNumberFormat="1" applyFont="1" applyFill="1" applyBorder="1" applyAlignment="1"/>
    <xf numFmtId="164" fontId="20" fillId="19" borderId="9" xfId="1" applyNumberFormat="1" applyFont="1" applyFill="1" applyBorder="1" applyAlignment="1"/>
    <xf numFmtId="164" fontId="12" fillId="26" borderId="37" xfId="1" applyNumberFormat="1" applyFont="1" applyFill="1" applyBorder="1" applyAlignment="1"/>
    <xf numFmtId="164" fontId="12" fillId="30" borderId="9" xfId="1" applyNumberFormat="1" applyFont="1" applyFill="1" applyBorder="1" applyAlignment="1"/>
    <xf numFmtId="9" fontId="40" fillId="33" borderId="20" xfId="1" applyFont="1" applyFill="1" applyBorder="1" applyAlignment="1"/>
    <xf numFmtId="9" fontId="40" fillId="33" borderId="45" xfId="1" applyFont="1" applyFill="1" applyBorder="1" applyAlignment="1"/>
    <xf numFmtId="9" fontId="12" fillId="26" borderId="45" xfId="1" applyFont="1" applyFill="1" applyBorder="1" applyAlignment="1"/>
    <xf numFmtId="9" fontId="12" fillId="31" borderId="20" xfId="1" applyFont="1" applyFill="1" applyBorder="1" applyAlignment="1"/>
    <xf numFmtId="9" fontId="12" fillId="33" borderId="16" xfId="1" applyFont="1" applyFill="1" applyBorder="1" applyAlignment="1"/>
    <xf numFmtId="9" fontId="12" fillId="33" borderId="17" xfId="1" applyFont="1" applyFill="1" applyBorder="1" applyAlignment="1"/>
    <xf numFmtId="9" fontId="12" fillId="41" borderId="24" xfId="1" applyFont="1" applyFill="1" applyBorder="1" applyAlignment="1"/>
    <xf numFmtId="9" fontId="12" fillId="41" borderId="11" xfId="1" applyFont="1" applyFill="1" applyBorder="1" applyAlignment="1"/>
    <xf numFmtId="9" fontId="12" fillId="7" borderId="24" xfId="0" applyNumberFormat="1" applyFont="1" applyFill="1" applyBorder="1" applyAlignment="1"/>
    <xf numFmtId="9" fontId="12" fillId="41" borderId="24" xfId="0" applyNumberFormat="1" applyFont="1" applyFill="1" applyBorder="1" applyAlignment="1"/>
    <xf numFmtId="9" fontId="20" fillId="12" borderId="24" xfId="1" applyNumberFormat="1" applyFont="1" applyFill="1" applyBorder="1" applyAlignment="1"/>
    <xf numFmtId="9" fontId="12" fillId="7" borderId="11" xfId="0" applyNumberFormat="1" applyFont="1" applyFill="1" applyBorder="1" applyAlignment="1"/>
    <xf numFmtId="9" fontId="12" fillId="41" borderId="11" xfId="0" applyNumberFormat="1" applyFont="1" applyFill="1" applyBorder="1" applyAlignment="1"/>
    <xf numFmtId="9" fontId="20" fillId="12" borderId="11" xfId="1" applyNumberFormat="1" applyFont="1" applyFill="1" applyBorder="1" applyAlignment="1"/>
    <xf numFmtId="9" fontId="12" fillId="7" borderId="25" xfId="0" applyNumberFormat="1" applyFont="1" applyFill="1" applyBorder="1" applyAlignment="1"/>
    <xf numFmtId="9" fontId="12" fillId="41" borderId="25" xfId="0" applyNumberFormat="1" applyFont="1" applyFill="1" applyBorder="1" applyAlignment="1"/>
    <xf numFmtId="9" fontId="20" fillId="12" borderId="25" xfId="1" applyNumberFormat="1" applyFont="1" applyFill="1" applyBorder="1" applyAlignment="1"/>
    <xf numFmtId="164" fontId="12" fillId="41" borderId="4" xfId="0" applyNumberFormat="1" applyFont="1" applyFill="1" applyBorder="1" applyAlignment="1"/>
    <xf numFmtId="164" fontId="20" fillId="12" borderId="4" xfId="1" applyNumberFormat="1" applyFont="1" applyFill="1" applyBorder="1" applyAlignment="1"/>
    <xf numFmtId="9" fontId="28" fillId="19" borderId="36" xfId="0" applyNumberFormat="1" applyFont="1" applyFill="1" applyBorder="1" applyAlignment="1"/>
    <xf numFmtId="9" fontId="28" fillId="19" borderId="36" xfId="1" applyNumberFormat="1" applyFont="1" applyFill="1" applyBorder="1" applyAlignment="1"/>
    <xf numFmtId="9" fontId="12" fillId="14" borderId="41" xfId="1" applyFont="1" applyFill="1" applyBorder="1" applyAlignment="1"/>
    <xf numFmtId="9" fontId="12" fillId="15" borderId="41" xfId="1" applyFont="1" applyFill="1" applyBorder="1" applyAlignment="1"/>
    <xf numFmtId="9" fontId="12" fillId="35" borderId="11" xfId="1" applyFont="1" applyFill="1" applyBorder="1" applyAlignment="1"/>
    <xf numFmtId="9" fontId="12" fillId="40" borderId="11" xfId="0" applyNumberFormat="1" applyFont="1" applyFill="1" applyBorder="1" applyAlignment="1"/>
    <xf numFmtId="9" fontId="20" fillId="37" borderId="11" xfId="1" applyNumberFormat="1" applyFont="1" applyFill="1" applyBorder="1" applyAlignment="1"/>
    <xf numFmtId="9" fontId="12" fillId="40" borderId="41" xfId="0" applyNumberFormat="1" applyFont="1" applyFill="1" applyBorder="1" applyAlignment="1"/>
    <xf numFmtId="9" fontId="20" fillId="37" borderId="41" xfId="1" applyNumberFormat="1" applyFont="1" applyFill="1" applyBorder="1" applyAlignment="1"/>
    <xf numFmtId="9" fontId="12" fillId="18" borderId="20" xfId="1" applyNumberFormat="1" applyFont="1" applyFill="1" applyBorder="1" applyAlignment="1">
      <alignment horizontal="right"/>
    </xf>
    <xf numFmtId="0" fontId="9" fillId="39" borderId="4" xfId="0" applyFont="1" applyFill="1" applyBorder="1" applyAlignment="1">
      <alignment horizontal="center"/>
    </xf>
    <xf numFmtId="0" fontId="9" fillId="39" borderId="23" xfId="0" applyFont="1" applyFill="1" applyBorder="1" applyAlignment="1">
      <alignment horizontal="center"/>
    </xf>
    <xf numFmtId="41" fontId="12" fillId="38" borderId="24" xfId="0" applyNumberFormat="1" applyFont="1" applyFill="1" applyBorder="1" applyAlignment="1"/>
    <xf numFmtId="41" fontId="12" fillId="38" borderId="25" xfId="0" applyNumberFormat="1" applyFont="1" applyFill="1" applyBorder="1" applyAlignment="1"/>
    <xf numFmtId="41" fontId="12" fillId="38" borderId="4" xfId="0" applyNumberFormat="1" applyFont="1" applyFill="1" applyBorder="1" applyAlignment="1"/>
    <xf numFmtId="41" fontId="12" fillId="38" borderId="4" xfId="0" applyNumberFormat="1" applyFont="1" applyFill="1" applyBorder="1" applyAlignment="1">
      <alignment horizontal="right"/>
    </xf>
    <xf numFmtId="41" fontId="12" fillId="38" borderId="11" xfId="0" applyNumberFormat="1" applyFont="1" applyFill="1" applyBorder="1" applyAlignment="1">
      <alignment horizontal="right"/>
    </xf>
    <xf numFmtId="41" fontId="12" fillId="4" borderId="25" xfId="0" applyNumberFormat="1" applyFont="1" applyFill="1" applyBorder="1" applyAlignment="1"/>
    <xf numFmtId="9" fontId="12" fillId="33" borderId="46" xfId="1" applyFont="1" applyFill="1" applyBorder="1" applyAlignment="1"/>
    <xf numFmtId="9" fontId="12" fillId="33" borderId="47" xfId="1" applyFont="1" applyFill="1" applyBorder="1" applyAlignment="1"/>
    <xf numFmtId="49" fontId="7" fillId="2" borderId="34" xfId="0" applyNumberFormat="1" applyFont="1" applyFill="1" applyBorder="1" applyAlignment="1">
      <alignment horizontal="left"/>
    </xf>
    <xf numFmtId="165" fontId="28" fillId="34" borderId="47" xfId="2" applyNumberFormat="1" applyFont="1" applyFill="1" applyBorder="1" applyAlignment="1"/>
    <xf numFmtId="0" fontId="1" fillId="3" borderId="0" xfId="0" applyFont="1" applyFill="1"/>
    <xf numFmtId="0" fontId="20" fillId="2" borderId="37" xfId="0" applyFont="1" applyFill="1" applyBorder="1" applyAlignment="1"/>
    <xf numFmtId="41" fontId="12" fillId="10" borderId="11" xfId="0" applyNumberFormat="1" applyFont="1" applyFill="1" applyBorder="1" applyAlignment="1">
      <alignment horizontal="left"/>
    </xf>
    <xf numFmtId="9" fontId="12" fillId="30" borderId="36" xfId="1" applyFont="1" applyFill="1" applyBorder="1" applyAlignment="1"/>
    <xf numFmtId="164" fontId="12" fillId="30" borderId="36" xfId="1" applyNumberFormat="1" applyFont="1" applyFill="1" applyBorder="1" applyAlignment="1"/>
    <xf numFmtId="9" fontId="12" fillId="30" borderId="37" xfId="1" applyFont="1" applyFill="1" applyBorder="1" applyAlignment="1"/>
    <xf numFmtId="41" fontId="12" fillId="11" borderId="11" xfId="0" applyNumberFormat="1" applyFont="1" applyFill="1" applyBorder="1" applyAlignment="1">
      <alignment horizontal="left"/>
    </xf>
    <xf numFmtId="41" fontId="11" fillId="11" borderId="11" xfId="0" applyNumberFormat="1" applyFont="1" applyFill="1" applyBorder="1" applyAlignment="1">
      <alignment horizontal="left"/>
    </xf>
    <xf numFmtId="41" fontId="11" fillId="11" borderId="5" xfId="0" applyNumberFormat="1" applyFont="1" applyFill="1" applyBorder="1" applyAlignment="1">
      <alignment horizontal="left"/>
    </xf>
    <xf numFmtId="41" fontId="11" fillId="0" borderId="11" xfId="0" applyNumberFormat="1" applyFont="1" applyFill="1" applyBorder="1" applyAlignment="1">
      <alignment horizontal="left"/>
    </xf>
    <xf numFmtId="0" fontId="7" fillId="0" borderId="2" xfId="0" applyFont="1" applyFill="1" applyBorder="1" applyAlignment="1"/>
    <xf numFmtId="16" fontId="12" fillId="0" borderId="8" xfId="0" quotePrefix="1" applyNumberFormat="1" applyFont="1" applyFill="1" applyBorder="1" applyAlignment="1">
      <alignment horizontal="center"/>
    </xf>
    <xf numFmtId="41" fontId="11" fillId="0" borderId="2" xfId="0" applyNumberFormat="1" applyFont="1" applyFill="1" applyBorder="1" applyAlignment="1"/>
    <xf numFmtId="41" fontId="11" fillId="0" borderId="1" xfId="0" applyNumberFormat="1" applyFont="1" applyFill="1" applyBorder="1" applyAlignment="1"/>
    <xf numFmtId="41" fontId="11" fillId="0" borderId="12" xfId="0" applyNumberFormat="1" applyFont="1" applyFill="1" applyBorder="1" applyAlignment="1"/>
    <xf numFmtId="41" fontId="12" fillId="37" borderId="1" xfId="0" applyNumberFormat="1" applyFont="1" applyFill="1" applyBorder="1" applyAlignment="1">
      <alignment horizontal="center"/>
    </xf>
    <xf numFmtId="41" fontId="12" fillId="17" borderId="32" xfId="0" applyNumberFormat="1" applyFont="1" applyFill="1" applyBorder="1" applyAlignment="1"/>
    <xf numFmtId="41" fontId="12" fillId="17" borderId="8" xfId="0" applyNumberFormat="1" applyFont="1" applyFill="1" applyBorder="1" applyAlignment="1"/>
    <xf numFmtId="41" fontId="12" fillId="18" borderId="16" xfId="0" applyNumberFormat="1" applyFont="1" applyFill="1" applyBorder="1" applyAlignment="1"/>
    <xf numFmtId="41" fontId="11" fillId="0" borderId="26" xfId="0" applyNumberFormat="1" applyFont="1" applyFill="1" applyBorder="1" applyAlignment="1"/>
    <xf numFmtId="41" fontId="12" fillId="22" borderId="16" xfId="0" applyNumberFormat="1" applyFont="1" applyFill="1" applyBorder="1" applyAlignment="1"/>
    <xf numFmtId="41" fontId="11" fillId="0" borderId="8" xfId="0" applyNumberFormat="1" applyFont="1" applyFill="1" applyBorder="1" applyAlignment="1"/>
    <xf numFmtId="41" fontId="12" fillId="24" borderId="59" xfId="0" applyNumberFormat="1" applyFont="1" applyFill="1" applyBorder="1" applyAlignment="1"/>
    <xf numFmtId="0" fontId="7" fillId="12" borderId="3" xfId="0" applyFont="1" applyFill="1" applyBorder="1" applyAlignment="1"/>
    <xf numFmtId="41" fontId="11" fillId="13" borderId="5" xfId="0" applyNumberFormat="1" applyFont="1" applyFill="1" applyBorder="1" applyAlignment="1"/>
    <xf numFmtId="41" fontId="11" fillId="13" borderId="14" xfId="0" applyNumberFormat="1" applyFont="1" applyFill="1" applyBorder="1" applyAlignment="1"/>
    <xf numFmtId="41" fontId="12" fillId="36" borderId="28" xfId="0" applyNumberFormat="1" applyFont="1" applyFill="1" applyBorder="1" applyAlignment="1"/>
    <xf numFmtId="41" fontId="12" fillId="36" borderId="9" xfId="0" applyNumberFormat="1" applyFont="1" applyFill="1" applyBorder="1" applyAlignment="1"/>
    <xf numFmtId="41" fontId="11" fillId="13" borderId="3" xfId="0" applyNumberFormat="1" applyFont="1" applyFill="1" applyBorder="1" applyAlignment="1"/>
    <xf numFmtId="41" fontId="11" fillId="13" borderId="22" xfId="0" applyNumberFormat="1" applyFont="1" applyFill="1" applyBorder="1" applyAlignment="1"/>
    <xf numFmtId="41" fontId="11" fillId="13" borderId="9" xfId="0" applyNumberFormat="1" applyFont="1" applyFill="1" applyBorder="1" applyAlignment="1"/>
    <xf numFmtId="41" fontId="12" fillId="28" borderId="16" xfId="0" applyNumberFormat="1" applyFont="1" applyFill="1" applyBorder="1" applyAlignment="1"/>
    <xf numFmtId="165" fontId="12" fillId="32" borderId="16" xfId="2" applyNumberFormat="1" applyFont="1" applyFill="1" applyBorder="1" applyAlignment="1">
      <alignment horizontal="right"/>
    </xf>
    <xf numFmtId="41" fontId="12" fillId="33" borderId="16" xfId="0" applyNumberFormat="1" applyFont="1" applyFill="1" applyBorder="1" applyAlignment="1"/>
    <xf numFmtId="41" fontId="12" fillId="31" borderId="18" xfId="0" applyNumberFormat="1" applyFont="1" applyFill="1" applyBorder="1" applyAlignment="1"/>
    <xf numFmtId="41" fontId="11" fillId="11" borderId="1" xfId="0" applyNumberFormat="1" applyFont="1" applyFill="1" applyBorder="1" applyAlignment="1">
      <alignment horizontal="left"/>
    </xf>
    <xf numFmtId="41" fontId="11" fillId="11" borderId="1" xfId="0" applyNumberFormat="1" applyFont="1" applyFill="1" applyBorder="1" applyAlignment="1"/>
    <xf numFmtId="41" fontId="12" fillId="37" borderId="32" xfId="0" applyNumberFormat="1" applyFont="1" applyFill="1" applyBorder="1" applyAlignment="1"/>
    <xf numFmtId="41" fontId="12" fillId="35" borderId="1" xfId="0" applyNumberFormat="1" applyFont="1" applyFill="1" applyBorder="1" applyAlignment="1"/>
    <xf numFmtId="165" fontId="11" fillId="0" borderId="60" xfId="2" applyNumberFormat="1" applyFont="1" applyFill="1" applyBorder="1" applyAlignment="1"/>
    <xf numFmtId="165" fontId="11" fillId="11" borderId="61" xfId="2" applyNumberFormat="1" applyFont="1" applyFill="1" applyBorder="1" applyAlignment="1"/>
    <xf numFmtId="165" fontId="11" fillId="0" borderId="61" xfId="2" applyNumberFormat="1" applyFont="1" applyFill="1" applyBorder="1" applyAlignment="1"/>
    <xf numFmtId="165" fontId="11" fillId="0" borderId="62" xfId="2" applyNumberFormat="1" applyFont="1" applyFill="1" applyBorder="1" applyAlignment="1"/>
    <xf numFmtId="41" fontId="12" fillId="24" borderId="16" xfId="0" applyNumberFormat="1" applyFont="1" applyFill="1" applyBorder="1" applyAlignment="1"/>
    <xf numFmtId="41" fontId="12" fillId="27" borderId="46" xfId="0" applyNumberFormat="1" applyFont="1" applyFill="1" applyBorder="1" applyAlignment="1"/>
    <xf numFmtId="41" fontId="11" fillId="11" borderId="2" xfId="0" applyNumberFormat="1" applyFont="1" applyFill="1" applyBorder="1" applyAlignment="1"/>
    <xf numFmtId="41" fontId="12" fillId="31" borderId="16" xfId="0" applyNumberFormat="1" applyFont="1" applyFill="1" applyBorder="1" applyAlignment="1"/>
    <xf numFmtId="41" fontId="12" fillId="37" borderId="2" xfId="0" applyNumberFormat="1" applyFont="1" applyFill="1" applyBorder="1" applyAlignment="1">
      <alignment horizontal="right"/>
    </xf>
    <xf numFmtId="41" fontId="12" fillId="37" borderId="1" xfId="0" applyNumberFormat="1" applyFont="1" applyFill="1" applyBorder="1" applyAlignment="1">
      <alignment horizontal="right"/>
    </xf>
    <xf numFmtId="41" fontId="40" fillId="33" borderId="46" xfId="0" applyNumberFormat="1" applyFont="1" applyFill="1" applyBorder="1" applyAlignment="1"/>
    <xf numFmtId="0" fontId="6" fillId="0" borderId="25" xfId="0" applyFont="1" applyFill="1" applyBorder="1" applyAlignment="1">
      <alignment horizontal="left" indent="1"/>
    </xf>
    <xf numFmtId="41" fontId="12" fillId="14" borderId="11" xfId="0" applyNumberFormat="1" applyFont="1" applyFill="1" applyBorder="1" applyAlignment="1">
      <alignment horizontal="center"/>
    </xf>
    <xf numFmtId="49" fontId="7" fillId="2" borderId="39" xfId="0" applyNumberFormat="1" applyFont="1" applyFill="1" applyBorder="1" applyAlignment="1">
      <alignment horizontal="left"/>
    </xf>
    <xf numFmtId="0" fontId="0" fillId="2" borderId="38" xfId="0" applyFill="1" applyBorder="1" applyAlignment="1"/>
    <xf numFmtId="0" fontId="32" fillId="2" borderId="38" xfId="0" applyFont="1" applyFill="1" applyBorder="1" applyAlignment="1"/>
    <xf numFmtId="0" fontId="0" fillId="0" borderId="38" xfId="0" applyFill="1" applyBorder="1" applyAlignment="1"/>
    <xf numFmtId="0" fontId="0" fillId="6" borderId="38" xfId="0" applyFill="1" applyBorder="1" applyAlignment="1"/>
    <xf numFmtId="0" fontId="20" fillId="0" borderId="38" xfId="0" applyFont="1" applyFill="1" applyBorder="1" applyAlignment="1"/>
    <xf numFmtId="0" fontId="20" fillId="2" borderId="38" xfId="0" applyFont="1" applyFill="1" applyBorder="1" applyAlignment="1"/>
    <xf numFmtId="164" fontId="20" fillId="2" borderId="38" xfId="1" applyNumberFormat="1" applyFont="1" applyFill="1" applyBorder="1" applyAlignment="1"/>
    <xf numFmtId="0" fontId="20" fillId="2" borderId="40" xfId="0" applyFont="1" applyFill="1" applyBorder="1" applyAlignment="1"/>
    <xf numFmtId="41" fontId="12" fillId="37" borderId="20" xfId="0" applyNumberFormat="1" applyFont="1" applyFill="1" applyBorder="1" applyAlignment="1">
      <alignment horizontal="right"/>
    </xf>
    <xf numFmtId="41" fontId="12" fillId="37" borderId="16" xfId="0" applyNumberFormat="1" applyFont="1" applyFill="1" applyBorder="1" applyAlignment="1">
      <alignment horizontal="right"/>
    </xf>
    <xf numFmtId="41" fontId="12" fillId="37" borderId="17" xfId="0" applyNumberFormat="1" applyFont="1" applyFill="1" applyBorder="1" applyAlignment="1">
      <alignment horizontal="right"/>
    </xf>
    <xf numFmtId="41" fontId="12" fillId="14" borderId="20" xfId="0" applyNumberFormat="1" applyFont="1" applyFill="1" applyBorder="1" applyAlignment="1">
      <alignment horizontal="right"/>
    </xf>
    <xf numFmtId="9" fontId="12" fillId="37" borderId="20" xfId="1" applyFont="1" applyFill="1" applyBorder="1" applyAlignment="1">
      <alignment horizontal="right"/>
    </xf>
    <xf numFmtId="9" fontId="12" fillId="41" borderId="20" xfId="1" applyFont="1" applyFill="1" applyBorder="1" applyAlignment="1"/>
    <xf numFmtId="41" fontId="12" fillId="38" borderId="20" xfId="0" applyNumberFormat="1" applyFont="1" applyFill="1" applyBorder="1" applyAlignment="1">
      <alignment horizontal="right"/>
    </xf>
    <xf numFmtId="0" fontId="7" fillId="37" borderId="16" xfId="0" applyFont="1" applyFill="1" applyBorder="1" applyAlignment="1">
      <alignment horizontal="left" indent="1"/>
    </xf>
    <xf numFmtId="41" fontId="6" fillId="2" borderId="0" xfId="0" applyNumberFormat="1" applyFont="1" applyFill="1"/>
    <xf numFmtId="41" fontId="11" fillId="13" borderId="1" xfId="0" applyNumberFormat="1" applyFont="1" applyFill="1" applyBorder="1" applyAlignment="1"/>
    <xf numFmtId="41" fontId="12" fillId="8" borderId="11" xfId="0" applyNumberFormat="1" applyFont="1" applyFill="1" applyBorder="1" applyAlignment="1"/>
    <xf numFmtId="164" fontId="12" fillId="40" borderId="41" xfId="0" applyNumberFormat="1" applyFont="1" applyFill="1" applyBorder="1" applyAlignment="1"/>
    <xf numFmtId="164" fontId="20" fillId="37" borderId="41" xfId="1" applyNumberFormat="1" applyFont="1" applyFill="1" applyBorder="1" applyAlignment="1"/>
    <xf numFmtId="0" fontId="6" fillId="0" borderId="2" xfId="0" applyFont="1" applyFill="1" applyBorder="1" applyAlignment="1"/>
    <xf numFmtId="41" fontId="11" fillId="11" borderId="2" xfId="0" applyNumberFormat="1" applyFont="1" applyFill="1" applyBorder="1" applyAlignment="1">
      <alignment horizontal="left"/>
    </xf>
    <xf numFmtId="41" fontId="12" fillId="35" borderId="44" xfId="0" applyNumberFormat="1" applyFont="1" applyFill="1" applyBorder="1" applyAlignment="1"/>
    <xf numFmtId="165" fontId="11" fillId="0" borderId="2" xfId="2" applyNumberFormat="1" applyFont="1" applyFill="1" applyBorder="1" applyAlignment="1"/>
    <xf numFmtId="165" fontId="11" fillId="0" borderId="12" xfId="2" applyNumberFormat="1" applyFont="1" applyFill="1" applyBorder="1" applyAlignment="1"/>
    <xf numFmtId="0" fontId="7" fillId="12" borderId="63" xfId="0" applyFont="1" applyFill="1" applyBorder="1" applyAlignment="1"/>
    <xf numFmtId="16" fontId="12" fillId="12" borderId="64" xfId="0" quotePrefix="1" applyNumberFormat="1" applyFont="1" applyFill="1" applyBorder="1" applyAlignment="1">
      <alignment horizontal="center"/>
    </xf>
    <xf numFmtId="41" fontId="11" fillId="13" borderId="6" xfId="0" applyNumberFormat="1" applyFont="1" applyFill="1" applyBorder="1" applyAlignment="1"/>
    <xf numFmtId="41" fontId="11" fillId="13" borderId="65" xfId="0" applyNumberFormat="1" applyFont="1" applyFill="1" applyBorder="1" applyAlignment="1"/>
    <xf numFmtId="41" fontId="12" fillId="37" borderId="6" xfId="0" applyNumberFormat="1" applyFont="1" applyFill="1" applyBorder="1" applyAlignment="1">
      <alignment horizontal="center"/>
    </xf>
    <xf numFmtId="41" fontId="12" fillId="36" borderId="66" xfId="0" applyNumberFormat="1" applyFont="1" applyFill="1" applyBorder="1" applyAlignment="1"/>
    <xf numFmtId="41" fontId="12" fillId="36" borderId="64" xfId="0" applyNumberFormat="1" applyFont="1" applyFill="1" applyBorder="1" applyAlignment="1"/>
    <xf numFmtId="41" fontId="12" fillId="18" borderId="67" xfId="0" applyNumberFormat="1" applyFont="1" applyFill="1" applyBorder="1" applyAlignment="1"/>
    <xf numFmtId="41" fontId="11" fillId="13" borderId="63" xfId="0" applyNumberFormat="1" applyFont="1" applyFill="1" applyBorder="1" applyAlignment="1"/>
    <xf numFmtId="41" fontId="11" fillId="13" borderId="68" xfId="0" applyNumberFormat="1" applyFont="1" applyFill="1" applyBorder="1" applyAlignment="1"/>
    <xf numFmtId="41" fontId="12" fillId="22" borderId="67" xfId="0" applyNumberFormat="1" applyFont="1" applyFill="1" applyBorder="1" applyAlignment="1"/>
    <xf numFmtId="41" fontId="11" fillId="13" borderId="64" xfId="0" applyNumberFormat="1" applyFont="1" applyFill="1" applyBorder="1" applyAlignment="1"/>
    <xf numFmtId="41" fontId="12" fillId="24" borderId="67" xfId="0" applyNumberFormat="1" applyFont="1" applyFill="1" applyBorder="1" applyAlignment="1"/>
    <xf numFmtId="41" fontId="12" fillId="28" borderId="67" xfId="0" applyNumberFormat="1" applyFont="1" applyFill="1" applyBorder="1" applyAlignment="1"/>
    <xf numFmtId="165" fontId="12" fillId="32" borderId="67" xfId="2" applyNumberFormat="1" applyFont="1" applyFill="1" applyBorder="1" applyAlignment="1">
      <alignment horizontal="right"/>
    </xf>
    <xf numFmtId="41" fontId="12" fillId="33" borderId="67" xfId="0" applyNumberFormat="1" applyFont="1" applyFill="1" applyBorder="1" applyAlignment="1"/>
    <xf numFmtId="41" fontId="11" fillId="11" borderId="69" xfId="0" applyNumberFormat="1" applyFont="1" applyFill="1" applyBorder="1" applyAlignment="1"/>
    <xf numFmtId="41" fontId="11" fillId="11" borderId="6" xfId="0" applyNumberFormat="1" applyFont="1" applyFill="1" applyBorder="1" applyAlignment="1"/>
    <xf numFmtId="41" fontId="12" fillId="37" borderId="66" xfId="0" applyNumberFormat="1" applyFont="1" applyFill="1" applyBorder="1" applyAlignment="1"/>
    <xf numFmtId="41" fontId="11" fillId="11" borderId="6" xfId="0" applyNumberFormat="1" applyFont="1" applyFill="1" applyBorder="1" applyAlignment="1">
      <alignment horizontal="left"/>
    </xf>
    <xf numFmtId="41" fontId="12" fillId="35" borderId="6" xfId="0" applyNumberFormat="1" applyFont="1" applyFill="1" applyBorder="1" applyAlignment="1"/>
    <xf numFmtId="165" fontId="11" fillId="13" borderId="6" xfId="2" applyNumberFormat="1" applyFont="1" applyFill="1" applyBorder="1" applyAlignment="1"/>
    <xf numFmtId="165" fontId="11" fillId="11" borderId="6" xfId="2" applyNumberFormat="1" applyFont="1" applyFill="1" applyBorder="1" applyAlignment="1"/>
    <xf numFmtId="41" fontId="11" fillId="11" borderId="63" xfId="0" applyNumberFormat="1" applyFont="1" applyFill="1" applyBorder="1" applyAlignment="1"/>
    <xf numFmtId="41" fontId="11" fillId="12" borderId="6" xfId="0" applyNumberFormat="1" applyFont="1" applyFill="1" applyBorder="1" applyAlignment="1"/>
    <xf numFmtId="41" fontId="12" fillId="27" borderId="70" xfId="0" applyNumberFormat="1" applyFont="1" applyFill="1" applyBorder="1" applyAlignment="1"/>
    <xf numFmtId="41" fontId="11" fillId="12" borderId="65" xfId="0" applyNumberFormat="1" applyFont="1" applyFill="1" applyBorder="1" applyAlignment="1"/>
    <xf numFmtId="41" fontId="12" fillId="31" borderId="67" xfId="0" applyNumberFormat="1" applyFont="1" applyFill="1" applyBorder="1" applyAlignment="1"/>
    <xf numFmtId="41" fontId="12" fillId="37" borderId="63" xfId="0" applyNumberFormat="1" applyFont="1" applyFill="1" applyBorder="1" applyAlignment="1">
      <alignment horizontal="right"/>
    </xf>
    <xf numFmtId="41" fontId="12" fillId="37" borderId="6" xfId="0" applyNumberFormat="1" applyFont="1" applyFill="1" applyBorder="1" applyAlignment="1">
      <alignment horizontal="right"/>
    </xf>
    <xf numFmtId="41" fontId="40" fillId="33" borderId="70" xfId="0" applyNumberFormat="1" applyFont="1" applyFill="1" applyBorder="1" applyAlignment="1"/>
    <xf numFmtId="41" fontId="12" fillId="37" borderId="67" xfId="0" applyNumberFormat="1" applyFont="1" applyFill="1" applyBorder="1" applyAlignment="1">
      <alignment horizontal="right"/>
    </xf>
    <xf numFmtId="0" fontId="19" fillId="0" borderId="0" xfId="0" applyFont="1" applyFill="1" applyBorder="1" applyAlignment="1"/>
    <xf numFmtId="0" fontId="21" fillId="3" borderId="0" xfId="0" applyFont="1" applyFill="1" applyBorder="1" applyAlignment="1"/>
    <xf numFmtId="49" fontId="6" fillId="2" borderId="2" xfId="0" applyNumberFormat="1" applyFont="1" applyFill="1" applyBorder="1" applyAlignment="1">
      <alignment horizontal="left" indent="1"/>
    </xf>
    <xf numFmtId="9" fontId="12" fillId="7" borderId="4" xfId="0" applyNumberFormat="1" applyFont="1" applyFill="1" applyBorder="1" applyAlignment="1"/>
    <xf numFmtId="9" fontId="12" fillId="41" borderId="4" xfId="0" applyNumberFormat="1" applyFont="1" applyFill="1" applyBorder="1" applyAlignment="1"/>
    <xf numFmtId="9" fontId="20" fillId="12" borderId="4" xfId="1" applyNumberFormat="1" applyFont="1" applyFill="1" applyBorder="1" applyAlignment="1"/>
    <xf numFmtId="0" fontId="4" fillId="11" borderId="1" xfId="0" applyFont="1" applyFill="1" applyBorder="1" applyAlignment="1"/>
    <xf numFmtId="0" fontId="4" fillId="12" borderId="1" xfId="0" applyFont="1" applyFill="1" applyBorder="1" applyAlignment="1"/>
    <xf numFmtId="0" fontId="4" fillId="12" borderId="2" xfId="0" applyFont="1" applyFill="1" applyBorder="1" applyAlignment="1">
      <alignment horizontal="left"/>
    </xf>
    <xf numFmtId="0" fontId="4" fillId="12" borderId="21" xfId="0" applyFont="1" applyFill="1" applyBorder="1" applyAlignment="1">
      <alignment horizontal="left"/>
    </xf>
    <xf numFmtId="0" fontId="4" fillId="12" borderId="0" xfId="0" applyFont="1" applyFill="1" applyBorder="1" applyAlignment="1"/>
    <xf numFmtId="0" fontId="4" fillId="11" borderId="0" xfId="0" applyFont="1" applyFill="1" applyBorder="1" applyAlignment="1"/>
    <xf numFmtId="0" fontId="4" fillId="11" borderId="33" xfId="0" applyFont="1" applyFill="1" applyBorder="1" applyAlignment="1"/>
    <xf numFmtId="0" fontId="4" fillId="11" borderId="10" xfId="0" applyFont="1" applyFill="1" applyBorder="1" applyAlignment="1"/>
    <xf numFmtId="0" fontId="4" fillId="42" borderId="55" xfId="0" applyFont="1" applyFill="1" applyBorder="1" applyAlignment="1">
      <alignment horizontal="left" indent="1"/>
    </xf>
    <xf numFmtId="0" fontId="4" fillId="42" borderId="57" xfId="0" applyFont="1" applyFill="1" applyBorder="1" applyAlignment="1">
      <alignment horizontal="left" indent="1"/>
    </xf>
    <xf numFmtId="49" fontId="12" fillId="12" borderId="9" xfId="0" quotePrefix="1" applyNumberFormat="1" applyFont="1" applyFill="1" applyBorder="1" applyAlignment="1">
      <alignment horizontal="center"/>
    </xf>
    <xf numFmtId="41" fontId="11" fillId="12" borderId="5" xfId="0" applyNumberFormat="1" applyFont="1" applyFill="1" applyBorder="1" applyAlignment="1"/>
    <xf numFmtId="41" fontId="11" fillId="12" borderId="14" xfId="0" applyNumberFormat="1" applyFont="1" applyFill="1" applyBorder="1" applyAlignment="1"/>
    <xf numFmtId="41" fontId="11" fillId="0" borderId="63" xfId="0" applyNumberFormat="1" applyFont="1" applyFill="1" applyBorder="1" applyAlignment="1"/>
    <xf numFmtId="41" fontId="11" fillId="0" borderId="6" xfId="0" applyNumberFormat="1" applyFont="1" applyFill="1" applyBorder="1" applyAlignment="1"/>
    <xf numFmtId="41" fontId="11" fillId="0" borderId="65" xfId="0" applyNumberFormat="1" applyFont="1" applyFill="1" applyBorder="1" applyAlignment="1"/>
    <xf numFmtId="41" fontId="12" fillId="17" borderId="66" xfId="0" applyNumberFormat="1" applyFont="1" applyFill="1" applyBorder="1" applyAlignment="1"/>
    <xf numFmtId="41" fontId="12" fillId="17" borderId="64" xfId="0" applyNumberFormat="1" applyFont="1" applyFill="1" applyBorder="1" applyAlignment="1"/>
    <xf numFmtId="41" fontId="11" fillId="0" borderId="68" xfId="0" applyNumberFormat="1" applyFont="1" applyFill="1" applyBorder="1" applyAlignment="1"/>
    <xf numFmtId="41" fontId="11" fillId="0" borderId="64" xfId="0" applyNumberFormat="1" applyFont="1" applyFill="1" applyBorder="1" applyAlignment="1"/>
    <xf numFmtId="0" fontId="7" fillId="0" borderId="63" xfId="0" applyFont="1" applyFill="1" applyBorder="1" applyAlignment="1"/>
    <xf numFmtId="16" fontId="12" fillId="0" borderId="64" xfId="0" quotePrefix="1" applyNumberFormat="1" applyFont="1" applyFill="1" applyBorder="1" applyAlignment="1">
      <alignment horizontal="center"/>
    </xf>
    <xf numFmtId="41" fontId="11" fillId="0" borderId="69" xfId="0" applyNumberFormat="1" applyFont="1" applyFill="1" applyBorder="1" applyAlignment="1"/>
    <xf numFmtId="165" fontId="11" fillId="0" borderId="6" xfId="2" applyNumberFormat="1" applyFont="1" applyFill="1" applyBorder="1" applyAlignment="1"/>
    <xf numFmtId="0" fontId="19" fillId="2" borderId="0" xfId="0" applyFont="1" applyFill="1" applyAlignment="1"/>
    <xf numFmtId="0" fontId="45" fillId="44" borderId="0" xfId="7" applyAlignment="1"/>
    <xf numFmtId="0" fontId="45" fillId="44" borderId="0" xfId="7"/>
    <xf numFmtId="0" fontId="20" fillId="2" borderId="0" xfId="0" quotePrefix="1" applyFont="1" applyFill="1" applyAlignment="1"/>
    <xf numFmtId="0" fontId="46" fillId="42" borderId="55" xfId="0" applyFont="1" applyFill="1" applyBorder="1" applyAlignment="1">
      <alignment horizontal="left" indent="1"/>
    </xf>
    <xf numFmtId="0" fontId="47" fillId="3" borderId="0" xfId="0" applyFont="1" applyFill="1" applyBorder="1" applyAlignment="1"/>
    <xf numFmtId="0" fontId="46" fillId="5" borderId="0" xfId="0" applyFont="1" applyFill="1" applyBorder="1" applyAlignment="1">
      <alignment horizontal="left"/>
    </xf>
    <xf numFmtId="0" fontId="46" fillId="12" borderId="2" xfId="0" applyFont="1" applyFill="1" applyBorder="1" applyAlignment="1">
      <alignment horizontal="left"/>
    </xf>
    <xf numFmtId="0" fontId="46" fillId="12" borderId="21" xfId="0" applyFont="1" applyFill="1" applyBorder="1" applyAlignment="1">
      <alignment horizontal="left"/>
    </xf>
    <xf numFmtId="0" fontId="46" fillId="3" borderId="21" xfId="0" applyFont="1" applyFill="1" applyBorder="1" applyAlignment="1">
      <alignment horizontal="left"/>
    </xf>
    <xf numFmtId="0" fontId="46" fillId="13" borderId="1" xfId="0" applyFont="1" applyFill="1" applyBorder="1"/>
    <xf numFmtId="0" fontId="48" fillId="2" borderId="56" xfId="0" applyFont="1" applyFill="1" applyBorder="1"/>
    <xf numFmtId="0" fontId="46" fillId="12" borderId="1" xfId="0" applyFont="1" applyFill="1" applyBorder="1" applyAlignment="1"/>
    <xf numFmtId="0" fontId="46" fillId="12" borderId="0" xfId="0" applyFont="1" applyFill="1" applyBorder="1" applyAlignment="1"/>
    <xf numFmtId="0" fontId="46" fillId="3" borderId="0" xfId="0" applyFont="1" applyFill="1" applyBorder="1" applyAlignment="1"/>
    <xf numFmtId="0" fontId="46" fillId="11" borderId="1" xfId="0" applyFont="1" applyFill="1" applyBorder="1" applyAlignment="1"/>
    <xf numFmtId="0" fontId="46" fillId="11" borderId="0" xfId="0" applyFont="1" applyFill="1" applyBorder="1" applyAlignment="1"/>
    <xf numFmtId="0" fontId="46" fillId="0" borderId="0" xfId="0" applyFont="1" applyFill="1" applyBorder="1" applyAlignment="1"/>
    <xf numFmtId="0" fontId="46" fillId="42" borderId="57" xfId="0" applyFont="1" applyFill="1" applyBorder="1" applyAlignment="1">
      <alignment horizontal="left" indent="1"/>
    </xf>
    <xf numFmtId="0" fontId="47" fillId="3" borderId="10" xfId="0" applyFont="1" applyFill="1" applyBorder="1" applyAlignment="1"/>
    <xf numFmtId="0" fontId="46" fillId="5" borderId="10" xfId="0" applyFont="1" applyFill="1" applyBorder="1" applyAlignment="1">
      <alignment horizontal="left"/>
    </xf>
    <xf numFmtId="0" fontId="46" fillId="11" borderId="33" xfId="0" applyFont="1" applyFill="1" applyBorder="1" applyAlignment="1"/>
    <xf numFmtId="0" fontId="46" fillId="11" borderId="10" xfId="0" applyFont="1" applyFill="1" applyBorder="1" applyAlignment="1"/>
    <xf numFmtId="0" fontId="46" fillId="0" borderId="10" xfId="0" applyFont="1" applyFill="1" applyBorder="1" applyAlignment="1"/>
    <xf numFmtId="0" fontId="46" fillId="2" borderId="33" xfId="0" applyFont="1" applyFill="1" applyBorder="1"/>
    <xf numFmtId="0" fontId="48" fillId="2" borderId="58" xfId="0" applyFont="1" applyFill="1" applyBorder="1"/>
    <xf numFmtId="41" fontId="11" fillId="11" borderId="22" xfId="0" applyNumberFormat="1" applyFont="1" applyFill="1" applyBorder="1" applyAlignment="1"/>
    <xf numFmtId="165" fontId="11" fillId="13" borderId="5" xfId="2" applyNumberFormat="1" applyFont="1" applyFill="1" applyBorder="1" applyAlignment="1"/>
    <xf numFmtId="165" fontId="11" fillId="11" borderId="5" xfId="2" applyNumberFormat="1" applyFont="1" applyFill="1" applyBorder="1" applyAlignment="1"/>
    <xf numFmtId="49" fontId="12" fillId="12" borderId="64" xfId="0" quotePrefix="1" applyNumberFormat="1" applyFont="1" applyFill="1" applyBorder="1" applyAlignment="1">
      <alignment horizontal="center"/>
    </xf>
    <xf numFmtId="0" fontId="7" fillId="16" borderId="32" xfId="0" applyFont="1" applyFill="1" applyBorder="1" applyAlignment="1">
      <alignment horizontal="left"/>
    </xf>
    <xf numFmtId="0" fontId="0" fillId="0" borderId="0" xfId="0"/>
    <xf numFmtId="0" fontId="32" fillId="0" borderId="0" xfId="0" applyFont="1"/>
    <xf numFmtId="0" fontId="44" fillId="43" borderId="0" xfId="6"/>
    <xf numFmtId="0" fontId="49" fillId="45" borderId="0" xfId="8"/>
    <xf numFmtId="0" fontId="49" fillId="45" borderId="0" xfId="8" applyAlignment="1"/>
    <xf numFmtId="0" fontId="1" fillId="2" borderId="0" xfId="0" applyFont="1" applyFill="1" applyAlignment="1"/>
    <xf numFmtId="0" fontId="4" fillId="13" borderId="2" xfId="0" applyFont="1" applyFill="1" applyBorder="1" applyAlignment="1"/>
    <xf numFmtId="0" fontId="4" fillId="13" borderId="21" xfId="0" applyFont="1" applyFill="1" applyBorder="1" applyAlignment="1"/>
    <xf numFmtId="0" fontId="4" fillId="13" borderId="72" xfId="0" applyFont="1" applyFill="1" applyBorder="1" applyAlignment="1"/>
    <xf numFmtId="0" fontId="4" fillId="12" borderId="56" xfId="0" applyFont="1" applyFill="1" applyBorder="1" applyAlignment="1"/>
    <xf numFmtId="0" fontId="19" fillId="13" borderId="56" xfId="0" applyFont="1" applyFill="1" applyBorder="1"/>
    <xf numFmtId="0" fontId="4" fillId="13" borderId="10" xfId="0" applyFont="1" applyFill="1" applyBorder="1"/>
    <xf numFmtId="0" fontId="19" fillId="13" borderId="58" xfId="0" applyFont="1" applyFill="1" applyBorder="1"/>
    <xf numFmtId="0" fontId="2" fillId="2" borderId="0" xfId="0" applyFont="1" applyFill="1" applyAlignment="1"/>
    <xf numFmtId="0" fontId="5" fillId="2" borderId="5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wrapText="1"/>
    </xf>
    <xf numFmtId="0" fontId="5" fillId="2" borderId="71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5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16" borderId="32" xfId="0" applyFont="1" applyFill="1" applyBorder="1" applyAlignment="1">
      <alignment horizontal="left"/>
    </xf>
    <xf numFmtId="0" fontId="7" fillId="16" borderId="27" xfId="0" applyFont="1" applyFill="1" applyBorder="1" applyAlignment="1">
      <alignment horizontal="left"/>
    </xf>
    <xf numFmtId="0" fontId="7" fillId="16" borderId="28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8" fillId="41" borderId="4" xfId="0" applyFont="1" applyFill="1" applyBorder="1" applyAlignment="1">
      <alignment horizontal="center" wrapText="1"/>
    </xf>
    <xf numFmtId="0" fontId="8" fillId="41" borderId="23" xfId="0" applyFont="1" applyFill="1" applyBorder="1" applyAlignment="1">
      <alignment horizontal="center" wrapText="1"/>
    </xf>
    <xf numFmtId="0" fontId="9" fillId="39" borderId="4" xfId="0" applyFont="1" applyFill="1" applyBorder="1" applyAlignment="1">
      <alignment horizontal="center" wrapText="1"/>
    </xf>
    <xf numFmtId="0" fontId="9" fillId="39" borderId="23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</cellXfs>
  <cellStyles count="9">
    <cellStyle name="Bad" xfId="7" builtinId="27"/>
    <cellStyle name="Comma" xfId="2" builtinId="3"/>
    <cellStyle name="Good" xfId="6" builtinId="26"/>
    <cellStyle name="Neutral" xfId="8" builtinId="28"/>
    <cellStyle name="Normal" xfId="0" builtinId="0"/>
    <cellStyle name="Normal 2" xfId="3" xr:uid="{00000000-0005-0000-0000-000002000000}"/>
    <cellStyle name="Normal 3" xfId="5" xr:uid="{00000000-0005-0000-0000-000003000000}"/>
    <cellStyle name="Percent" xfId="1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39"/>
  <sheetViews>
    <sheetView showGridLines="0" tabSelected="1" zoomScaleNormal="100" workbookViewId="0">
      <selection activeCell="AL105" sqref="AL105:AM106"/>
    </sheetView>
  </sheetViews>
  <sheetFormatPr defaultColWidth="10.6640625" defaultRowHeight="11.25" x14ac:dyDescent="0.2"/>
  <cols>
    <col min="1" max="1" width="45.83203125" style="29" customWidth="1"/>
    <col min="2" max="9" width="7.5" style="29" hidden="1" customWidth="1"/>
    <col min="10" max="10" width="7.5" style="168" hidden="1" customWidth="1"/>
    <col min="11" max="11" width="7.5" style="169" hidden="1" customWidth="1"/>
    <col min="12" max="14" width="7.5" style="170" hidden="1" customWidth="1"/>
    <col min="15" max="15" width="7.5" style="168" hidden="1" customWidth="1"/>
    <col min="16" max="16" width="7.5" style="171" hidden="1" customWidth="1"/>
    <col min="17" max="17" width="7.5" style="172" hidden="1" customWidth="1"/>
    <col min="18" max="18" width="7.33203125" style="172" hidden="1" customWidth="1"/>
    <col min="19" max="19" width="8.33203125" style="173" hidden="1" customWidth="1"/>
    <col min="20" max="20" width="8.33203125" style="172" customWidth="1"/>
    <col min="21" max="24" width="8.33203125" style="172" hidden="1" customWidth="1"/>
    <col min="25" max="30" width="8.33203125" style="172" customWidth="1"/>
    <col min="31" max="31" width="9.33203125" style="172" customWidth="1"/>
    <col min="32" max="34" width="9.33203125" style="29" customWidth="1"/>
    <col min="35" max="41" width="10.6640625" style="29"/>
    <col min="42" max="42" width="10.83203125" style="29" customWidth="1"/>
  </cols>
  <sheetData>
    <row r="1" spans="1:34" ht="15" customHeight="1" x14ac:dyDescent="0.2">
      <c r="A1" s="574" t="s">
        <v>158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</row>
    <row r="2" spans="1:34" ht="15" customHeight="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122"/>
      <c r="L2" s="123"/>
      <c r="M2" s="123"/>
      <c r="N2" s="123"/>
      <c r="O2" s="122"/>
      <c r="P2" s="124"/>
      <c r="Q2" s="122"/>
      <c r="R2" s="122"/>
      <c r="S2" s="125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1"/>
      <c r="AG2" s="121"/>
      <c r="AH2" s="121"/>
    </row>
    <row r="3" spans="1:34" ht="15" customHeight="1" x14ac:dyDescent="0.2">
      <c r="A3" s="575" t="s">
        <v>79</v>
      </c>
      <c r="B3" s="103"/>
      <c r="C3" s="126"/>
      <c r="D3" s="126"/>
      <c r="E3" s="103"/>
      <c r="F3" s="103"/>
      <c r="G3" s="126"/>
      <c r="H3" s="127"/>
      <c r="I3" s="127"/>
      <c r="J3" s="126"/>
      <c r="K3" s="128"/>
      <c r="L3" s="128"/>
      <c r="M3" s="128"/>
      <c r="N3" s="127"/>
      <c r="O3" s="383"/>
      <c r="P3" s="447"/>
      <c r="Q3" s="452"/>
      <c r="R3" s="452"/>
      <c r="S3" s="510"/>
      <c r="T3" s="452"/>
      <c r="U3" s="396"/>
      <c r="V3" s="131"/>
      <c r="W3" s="130"/>
      <c r="X3" s="129"/>
      <c r="Y3" s="129"/>
      <c r="Z3" s="130"/>
      <c r="AA3" s="130"/>
      <c r="AB3" s="131"/>
      <c r="AC3" s="130"/>
      <c r="AD3" s="132"/>
      <c r="AE3" s="586" t="s">
        <v>117</v>
      </c>
      <c r="AF3" s="588" t="s">
        <v>118</v>
      </c>
      <c r="AG3" s="586" t="s">
        <v>119</v>
      </c>
      <c r="AH3" s="590" t="s">
        <v>148</v>
      </c>
    </row>
    <row r="4" spans="1:34" ht="15" customHeight="1" x14ac:dyDescent="0.2">
      <c r="A4" s="576"/>
      <c r="B4" s="104" t="s">
        <v>97</v>
      </c>
      <c r="C4" s="105" t="s">
        <v>41</v>
      </c>
      <c r="D4" s="104" t="s">
        <v>51</v>
      </c>
      <c r="E4" s="105" t="s">
        <v>52</v>
      </c>
      <c r="F4" s="105" t="s">
        <v>53</v>
      </c>
      <c r="G4" s="104" t="s">
        <v>54</v>
      </c>
      <c r="H4" s="106" t="s">
        <v>55</v>
      </c>
      <c r="I4" s="107" t="s">
        <v>43</v>
      </c>
      <c r="J4" s="108" t="s">
        <v>44</v>
      </c>
      <c r="K4" s="108" t="s">
        <v>45</v>
      </c>
      <c r="L4" s="108" t="s">
        <v>46</v>
      </c>
      <c r="M4" s="108" t="s">
        <v>42</v>
      </c>
      <c r="N4" s="107" t="s">
        <v>56</v>
      </c>
      <c r="O4" s="384" t="s">
        <v>57</v>
      </c>
      <c r="P4" s="384" t="s">
        <v>60</v>
      </c>
      <c r="Q4" s="453" t="s">
        <v>63</v>
      </c>
      <c r="R4" s="453" t="s">
        <v>67</v>
      </c>
      <c r="S4" s="511" t="s">
        <v>68</v>
      </c>
      <c r="T4" s="543" t="s">
        <v>71</v>
      </c>
      <c r="U4" s="500" t="s">
        <v>72</v>
      </c>
      <c r="V4" s="24" t="s">
        <v>73</v>
      </c>
      <c r="W4" s="24" t="s">
        <v>74</v>
      </c>
      <c r="X4" s="109" t="s">
        <v>76</v>
      </c>
      <c r="Y4" s="109" t="s">
        <v>78</v>
      </c>
      <c r="Z4" s="24" t="s">
        <v>127</v>
      </c>
      <c r="AA4" s="24" t="s">
        <v>133</v>
      </c>
      <c r="AB4" s="24" t="s">
        <v>136</v>
      </c>
      <c r="AC4" s="24" t="s">
        <v>143</v>
      </c>
      <c r="AD4" s="110" t="s">
        <v>156</v>
      </c>
      <c r="AE4" s="587"/>
      <c r="AF4" s="589"/>
      <c r="AG4" s="587"/>
      <c r="AH4" s="591"/>
    </row>
    <row r="5" spans="1:34" ht="15" customHeight="1" x14ac:dyDescent="0.2">
      <c r="A5" s="580" t="s">
        <v>80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2"/>
    </row>
    <row r="6" spans="1:34" ht="15" customHeight="1" x14ac:dyDescent="0.2">
      <c r="A6" s="577" t="s">
        <v>81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9"/>
    </row>
    <row r="7" spans="1:34" ht="15" customHeight="1" x14ac:dyDescent="0.2">
      <c r="A7" s="583" t="s">
        <v>82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5"/>
    </row>
    <row r="8" spans="1:34" ht="15" customHeight="1" x14ac:dyDescent="0.2">
      <c r="A8" s="486" t="s">
        <v>121</v>
      </c>
      <c r="B8" s="174"/>
      <c r="C8" s="174"/>
      <c r="D8" s="174"/>
      <c r="E8" s="174"/>
      <c r="F8" s="174"/>
      <c r="G8" s="174"/>
      <c r="H8" s="157"/>
      <c r="I8" s="157">
        <v>8</v>
      </c>
      <c r="J8" s="174">
        <v>9</v>
      </c>
      <c r="K8" s="174">
        <v>3</v>
      </c>
      <c r="L8" s="174">
        <v>7</v>
      </c>
      <c r="M8" s="174">
        <v>9</v>
      </c>
      <c r="N8" s="157">
        <v>11</v>
      </c>
      <c r="O8" s="385">
        <v>6</v>
      </c>
      <c r="P8" s="385">
        <v>10</v>
      </c>
      <c r="Q8" s="460">
        <v>10</v>
      </c>
      <c r="R8" s="460">
        <v>9</v>
      </c>
      <c r="S8" s="503">
        <v>6</v>
      </c>
      <c r="T8" s="460">
        <v>7</v>
      </c>
      <c r="U8" s="401">
        <v>6</v>
      </c>
      <c r="V8" s="156">
        <v>11</v>
      </c>
      <c r="W8" s="156">
        <v>10</v>
      </c>
      <c r="X8" s="157">
        <v>7</v>
      </c>
      <c r="Y8" s="157">
        <v>0</v>
      </c>
      <c r="Z8" s="156">
        <v>0</v>
      </c>
      <c r="AA8" s="156">
        <v>0</v>
      </c>
      <c r="AB8" s="156">
        <v>0</v>
      </c>
      <c r="AC8" s="156">
        <v>0</v>
      </c>
      <c r="AD8" s="175">
        <v>0</v>
      </c>
      <c r="AE8" s="487" t="str">
        <f>IF(AD8=0," ",IF(AH8&gt;20,(AD8-AC8)/AC8," "))</f>
        <v xml:space="preserve"> </v>
      </c>
      <c r="AF8" s="488" t="str">
        <f>IF(AD8=0," ",IF(AH8&gt;20,(AD8-Y8)/Y8," "))</f>
        <v xml:space="preserve"> </v>
      </c>
      <c r="AG8" s="489" t="str">
        <f>IF(AD8=0," ",(IF(AH8&gt;20,(AD8-T8)/T8," ")))</f>
        <v xml:space="preserve"> </v>
      </c>
      <c r="AH8" s="365" t="str">
        <f>IF(AB8&gt;0,AVERAGE(AB8:AD8),"  ")</f>
        <v xml:space="preserve">  </v>
      </c>
    </row>
    <row r="9" spans="1:34" ht="15" customHeight="1" x14ac:dyDescent="0.2">
      <c r="A9" s="31" t="s">
        <v>12</v>
      </c>
      <c r="B9" s="133"/>
      <c r="C9" s="133"/>
      <c r="D9" s="133"/>
      <c r="E9" s="133"/>
      <c r="F9" s="133"/>
      <c r="G9" s="133"/>
      <c r="H9" s="22"/>
      <c r="I9" s="22"/>
      <c r="J9" s="133">
        <v>19</v>
      </c>
      <c r="K9" s="133">
        <v>18</v>
      </c>
      <c r="L9" s="133">
        <v>33</v>
      </c>
      <c r="M9" s="133">
        <v>43</v>
      </c>
      <c r="N9" s="22">
        <v>45</v>
      </c>
      <c r="O9" s="386">
        <v>68</v>
      </c>
      <c r="P9" s="386">
        <v>49</v>
      </c>
      <c r="Q9" s="454">
        <v>81</v>
      </c>
      <c r="R9" s="454">
        <v>90</v>
      </c>
      <c r="S9" s="504">
        <v>102</v>
      </c>
      <c r="T9" s="454">
        <v>110</v>
      </c>
      <c r="U9" s="397">
        <f>143+1</f>
        <v>144</v>
      </c>
      <c r="V9" s="134">
        <v>139</v>
      </c>
      <c r="W9" s="134">
        <v>128</v>
      </c>
      <c r="X9" s="22">
        <v>171</v>
      </c>
      <c r="Y9" s="22">
        <v>147</v>
      </c>
      <c r="Z9" s="134">
        <v>126</v>
      </c>
      <c r="AA9" s="134">
        <v>134</v>
      </c>
      <c r="AB9" s="134">
        <v>111</v>
      </c>
      <c r="AC9" s="134">
        <v>145</v>
      </c>
      <c r="AD9" s="135">
        <v>114</v>
      </c>
      <c r="AE9" s="343">
        <f>IF(AD9=0," ",IF(AH9&gt;20,(AD9-AC9)/AC9," "))</f>
        <v>-0.21379310344827587</v>
      </c>
      <c r="AF9" s="344">
        <f>IF(AD9=0," ",IF(AH9&gt;20,(AD9-Y9)/Y9," "))</f>
        <v>-0.22448979591836735</v>
      </c>
      <c r="AG9" s="345">
        <f>IF(AD9=0," ",(IF(AH9&gt;20,(AD9-T9)/T9," ")))</f>
        <v>3.6363636363636362E-2</v>
      </c>
      <c r="AH9" s="211">
        <f>IF(AB9&gt;0,AVERAGE(AB9:AD9),"  ")</f>
        <v>123.33333333333333</v>
      </c>
    </row>
    <row r="10" spans="1:34" ht="15" customHeight="1" x14ac:dyDescent="0.2">
      <c r="A10" s="13" t="s">
        <v>77</v>
      </c>
      <c r="B10" s="139">
        <v>11</v>
      </c>
      <c r="C10" s="139">
        <v>15</v>
      </c>
      <c r="D10" s="139">
        <v>6</v>
      </c>
      <c r="E10" s="139">
        <v>9</v>
      </c>
      <c r="F10" s="139">
        <v>11</v>
      </c>
      <c r="G10" s="139">
        <v>9</v>
      </c>
      <c r="H10" s="27">
        <v>5</v>
      </c>
      <c r="I10" s="27">
        <v>10</v>
      </c>
      <c r="J10" s="139">
        <v>7</v>
      </c>
      <c r="K10" s="139">
        <v>7</v>
      </c>
      <c r="L10" s="139">
        <v>8</v>
      </c>
      <c r="M10" s="139">
        <v>6</v>
      </c>
      <c r="N10" s="27">
        <v>9</v>
      </c>
      <c r="O10" s="387">
        <v>9</v>
      </c>
      <c r="P10" s="387">
        <v>12</v>
      </c>
      <c r="Q10" s="455">
        <v>10</v>
      </c>
      <c r="R10" s="455">
        <v>10</v>
      </c>
      <c r="S10" s="505">
        <v>12</v>
      </c>
      <c r="T10" s="455">
        <v>15</v>
      </c>
      <c r="U10" s="398">
        <v>9</v>
      </c>
      <c r="V10" s="140">
        <v>12</v>
      </c>
      <c r="W10" s="140">
        <v>15</v>
      </c>
      <c r="X10" s="27">
        <v>11</v>
      </c>
      <c r="Y10" s="27">
        <v>15</v>
      </c>
      <c r="Z10" s="140">
        <v>13</v>
      </c>
      <c r="AA10" s="140">
        <v>16</v>
      </c>
      <c r="AB10" s="140">
        <v>14</v>
      </c>
      <c r="AC10" s="140">
        <v>11</v>
      </c>
      <c r="AD10" s="141">
        <v>13</v>
      </c>
      <c r="AE10" s="346" t="str">
        <f t="shared" ref="AE9:AE16" si="0">IF(AD10=0," ",IF(AH10&gt;20,(AD10-AC10)/AC10," "))</f>
        <v xml:space="preserve"> </v>
      </c>
      <c r="AF10" s="347" t="str">
        <f t="shared" ref="AF9:AF16" si="1">IF(AD10=0," ",IF(AH10&gt;20,(AD10-Y10)/Y10," "))</f>
        <v xml:space="preserve"> </v>
      </c>
      <c r="AG10" s="348" t="str">
        <f t="shared" ref="AG9:AG16" si="2">IF(AD10=0," ",(IF(AH10&gt;20,(AD10-T10)/T10," ")))</f>
        <v xml:space="preserve"> </v>
      </c>
      <c r="AH10" s="364">
        <f t="shared" ref="AH9:AH16" si="3">IF(AB10&gt;0,AVERAGE(AB10:AD10),"  ")</f>
        <v>12.666666666666666</v>
      </c>
    </row>
    <row r="11" spans="1:34" ht="15" customHeight="1" x14ac:dyDescent="0.2">
      <c r="A11" s="31" t="s">
        <v>139</v>
      </c>
      <c r="B11" s="133"/>
      <c r="C11" s="133"/>
      <c r="D11" s="133"/>
      <c r="E11" s="133"/>
      <c r="F11" s="133"/>
      <c r="G11" s="133"/>
      <c r="H11" s="22"/>
      <c r="I11" s="22"/>
      <c r="J11" s="133"/>
      <c r="K11" s="133"/>
      <c r="L11" s="133"/>
      <c r="M11" s="133">
        <v>0</v>
      </c>
      <c r="N11" s="22"/>
      <c r="O11" s="386"/>
      <c r="P11" s="386"/>
      <c r="Q11" s="454"/>
      <c r="R11" s="454">
        <v>0</v>
      </c>
      <c r="S11" s="504">
        <v>0</v>
      </c>
      <c r="T11" s="454">
        <v>0</v>
      </c>
      <c r="U11" s="397"/>
      <c r="V11" s="134">
        <v>1</v>
      </c>
      <c r="W11" s="134">
        <v>15</v>
      </c>
      <c r="X11" s="22">
        <v>22</v>
      </c>
      <c r="Y11" s="22">
        <v>34</v>
      </c>
      <c r="Z11" s="134">
        <v>23</v>
      </c>
      <c r="AA11" s="134">
        <v>56</v>
      </c>
      <c r="AB11" s="134">
        <v>42</v>
      </c>
      <c r="AC11" s="134">
        <v>38</v>
      </c>
      <c r="AD11" s="135">
        <v>21</v>
      </c>
      <c r="AE11" s="343">
        <f t="shared" si="0"/>
        <v>-0.44736842105263158</v>
      </c>
      <c r="AF11" s="344">
        <f t="shared" si="1"/>
        <v>-0.38235294117647056</v>
      </c>
      <c r="AG11" s="345"/>
      <c r="AH11" s="211">
        <f t="shared" si="3"/>
        <v>33.666666666666664</v>
      </c>
    </row>
    <row r="12" spans="1:34" ht="15" customHeight="1" x14ac:dyDescent="0.2">
      <c r="A12" s="13" t="s">
        <v>29</v>
      </c>
      <c r="B12" s="139">
        <v>14</v>
      </c>
      <c r="C12" s="139">
        <v>21</v>
      </c>
      <c r="D12" s="139">
        <v>19</v>
      </c>
      <c r="E12" s="139">
        <v>18</v>
      </c>
      <c r="F12" s="139">
        <v>17</v>
      </c>
      <c r="G12" s="139">
        <v>14</v>
      </c>
      <c r="H12" s="27">
        <v>7</v>
      </c>
      <c r="I12" s="27">
        <v>11</v>
      </c>
      <c r="J12" s="139">
        <v>7</v>
      </c>
      <c r="K12" s="139">
        <v>11</v>
      </c>
      <c r="L12" s="139">
        <v>10</v>
      </c>
      <c r="M12" s="139">
        <v>15</v>
      </c>
      <c r="N12" s="27">
        <v>24</v>
      </c>
      <c r="O12" s="387">
        <v>23</v>
      </c>
      <c r="P12" s="387">
        <v>27</v>
      </c>
      <c r="Q12" s="455">
        <v>23</v>
      </c>
      <c r="R12" s="455">
        <f>35+1</f>
        <v>36</v>
      </c>
      <c r="S12" s="505">
        <v>23</v>
      </c>
      <c r="T12" s="455">
        <v>31</v>
      </c>
      <c r="U12" s="398">
        <v>37</v>
      </c>
      <c r="V12" s="140">
        <v>37</v>
      </c>
      <c r="W12" s="140">
        <v>36</v>
      </c>
      <c r="X12" s="27">
        <v>29</v>
      </c>
      <c r="Y12" s="27">
        <v>27</v>
      </c>
      <c r="Z12" s="140">
        <v>20</v>
      </c>
      <c r="AA12" s="140">
        <v>22</v>
      </c>
      <c r="AB12" s="140">
        <v>23</v>
      </c>
      <c r="AC12" s="140">
        <v>30</v>
      </c>
      <c r="AD12" s="141">
        <v>30</v>
      </c>
      <c r="AE12" s="346">
        <f t="shared" si="0"/>
        <v>0</v>
      </c>
      <c r="AF12" s="347">
        <f t="shared" si="1"/>
        <v>0.1111111111111111</v>
      </c>
      <c r="AG12" s="348">
        <f t="shared" si="2"/>
        <v>-3.2258064516129031E-2</v>
      </c>
      <c r="AH12" s="364">
        <f t="shared" si="3"/>
        <v>27.666666666666668</v>
      </c>
    </row>
    <row r="13" spans="1:34" ht="15" customHeight="1" x14ac:dyDescent="0.2">
      <c r="A13" s="102" t="s">
        <v>83</v>
      </c>
      <c r="B13" s="111">
        <f t="shared" ref="B13:AD13" si="4">SUM(B8:B12)</f>
        <v>25</v>
      </c>
      <c r="C13" s="111">
        <f t="shared" si="4"/>
        <v>36</v>
      </c>
      <c r="D13" s="111">
        <f t="shared" si="4"/>
        <v>25</v>
      </c>
      <c r="E13" s="111">
        <f t="shared" si="4"/>
        <v>27</v>
      </c>
      <c r="F13" s="111">
        <f t="shared" si="4"/>
        <v>28</v>
      </c>
      <c r="G13" s="111">
        <f t="shared" si="4"/>
        <v>23</v>
      </c>
      <c r="H13" s="111">
        <f t="shared" si="4"/>
        <v>12</v>
      </c>
      <c r="I13" s="111">
        <f t="shared" si="4"/>
        <v>29</v>
      </c>
      <c r="J13" s="111">
        <f t="shared" si="4"/>
        <v>42</v>
      </c>
      <c r="K13" s="111">
        <f t="shared" si="4"/>
        <v>39</v>
      </c>
      <c r="L13" s="111">
        <f t="shared" si="4"/>
        <v>58</v>
      </c>
      <c r="M13" s="111">
        <f t="shared" si="4"/>
        <v>73</v>
      </c>
      <c r="N13" s="111">
        <f t="shared" si="4"/>
        <v>89</v>
      </c>
      <c r="O13" s="388">
        <f t="shared" si="4"/>
        <v>106</v>
      </c>
      <c r="P13" s="388">
        <f t="shared" si="4"/>
        <v>98</v>
      </c>
      <c r="Q13" s="456">
        <f t="shared" si="4"/>
        <v>124</v>
      </c>
      <c r="R13" s="456">
        <f>SUM(R8:R12)</f>
        <v>145</v>
      </c>
      <c r="S13" s="456">
        <f t="shared" si="4"/>
        <v>143</v>
      </c>
      <c r="T13" s="456">
        <f t="shared" si="4"/>
        <v>163</v>
      </c>
      <c r="U13" s="287">
        <f t="shared" si="4"/>
        <v>196</v>
      </c>
      <c r="V13" s="111">
        <f t="shared" si="4"/>
        <v>200</v>
      </c>
      <c r="W13" s="111">
        <f t="shared" si="4"/>
        <v>204</v>
      </c>
      <c r="X13" s="111">
        <f t="shared" si="4"/>
        <v>240</v>
      </c>
      <c r="Y13" s="111">
        <f t="shared" si="4"/>
        <v>223</v>
      </c>
      <c r="Z13" s="111">
        <f t="shared" si="4"/>
        <v>182</v>
      </c>
      <c r="AA13" s="111">
        <f t="shared" si="4"/>
        <v>228</v>
      </c>
      <c r="AB13" s="111">
        <f t="shared" ref="AB13:AC13" si="5">SUM(AB8:AB12)</f>
        <v>190</v>
      </c>
      <c r="AC13" s="111">
        <f t="shared" si="5"/>
        <v>224</v>
      </c>
      <c r="AD13" s="424">
        <f t="shared" si="4"/>
        <v>178</v>
      </c>
      <c r="AE13" s="356">
        <f t="shared" si="0"/>
        <v>-0.20535714285714285</v>
      </c>
      <c r="AF13" s="356">
        <f t="shared" si="1"/>
        <v>-0.20179372197309417</v>
      </c>
      <c r="AG13" s="357">
        <f t="shared" si="2"/>
        <v>9.202453987730061E-2</v>
      </c>
      <c r="AH13" s="210">
        <f t="shared" si="3"/>
        <v>197.33333333333334</v>
      </c>
    </row>
    <row r="14" spans="1:34" ht="15" customHeight="1" x14ac:dyDescent="0.2">
      <c r="A14" s="163" t="s">
        <v>84</v>
      </c>
      <c r="B14" s="201">
        <v>61</v>
      </c>
      <c r="C14" s="201">
        <v>76</v>
      </c>
      <c r="D14" s="201">
        <v>55</v>
      </c>
      <c r="E14" s="201">
        <v>49</v>
      </c>
      <c r="F14" s="201">
        <v>48</v>
      </c>
      <c r="G14" s="201">
        <v>37</v>
      </c>
      <c r="H14" s="202">
        <v>55</v>
      </c>
      <c r="I14" s="202">
        <v>54</v>
      </c>
      <c r="J14" s="201">
        <v>56</v>
      </c>
      <c r="K14" s="201">
        <v>80</v>
      </c>
      <c r="L14" s="201">
        <v>78</v>
      </c>
      <c r="M14" s="201">
        <v>84</v>
      </c>
      <c r="N14" s="202">
        <v>68</v>
      </c>
      <c r="O14" s="389">
        <v>76</v>
      </c>
      <c r="P14" s="389">
        <v>83</v>
      </c>
      <c r="Q14" s="457">
        <v>70</v>
      </c>
      <c r="R14" s="457">
        <v>84</v>
      </c>
      <c r="S14" s="506">
        <v>87</v>
      </c>
      <c r="T14" s="457">
        <v>93</v>
      </c>
      <c r="U14" s="399">
        <v>86</v>
      </c>
      <c r="V14" s="201">
        <v>94</v>
      </c>
      <c r="W14" s="201">
        <v>90</v>
      </c>
      <c r="X14" s="202">
        <v>97</v>
      </c>
      <c r="Y14" s="202">
        <v>87</v>
      </c>
      <c r="Z14" s="201">
        <v>89</v>
      </c>
      <c r="AA14" s="201">
        <v>89</v>
      </c>
      <c r="AB14" s="201">
        <v>83</v>
      </c>
      <c r="AC14" s="201">
        <v>99</v>
      </c>
      <c r="AD14" s="143">
        <v>93</v>
      </c>
      <c r="AE14" s="358">
        <f t="shared" si="0"/>
        <v>-6.0606060606060608E-2</v>
      </c>
      <c r="AF14" s="358">
        <f t="shared" si="1"/>
        <v>6.8965517241379309E-2</v>
      </c>
      <c r="AG14" s="359">
        <f t="shared" si="2"/>
        <v>0</v>
      </c>
      <c r="AH14" s="216">
        <f t="shared" si="3"/>
        <v>91.666666666666671</v>
      </c>
    </row>
    <row r="15" spans="1:34" ht="15" customHeight="1" x14ac:dyDescent="0.2">
      <c r="A15" s="203" t="s">
        <v>85</v>
      </c>
      <c r="B15" s="204">
        <v>59</v>
      </c>
      <c r="C15" s="204">
        <v>62</v>
      </c>
      <c r="D15" s="204">
        <v>72</v>
      </c>
      <c r="E15" s="204">
        <v>74</v>
      </c>
      <c r="F15" s="204">
        <v>67</v>
      </c>
      <c r="G15" s="204">
        <v>54</v>
      </c>
      <c r="H15" s="205">
        <v>74</v>
      </c>
      <c r="I15" s="205">
        <v>46</v>
      </c>
      <c r="J15" s="204">
        <v>59</v>
      </c>
      <c r="K15" s="204">
        <v>55</v>
      </c>
      <c r="L15" s="204">
        <v>61</v>
      </c>
      <c r="M15" s="204">
        <v>59</v>
      </c>
      <c r="N15" s="205">
        <v>56</v>
      </c>
      <c r="O15" s="390">
        <v>63</v>
      </c>
      <c r="P15" s="390">
        <v>61</v>
      </c>
      <c r="Q15" s="458">
        <v>61</v>
      </c>
      <c r="R15" s="458">
        <v>74</v>
      </c>
      <c r="S15" s="507">
        <f>91+2</f>
        <v>93</v>
      </c>
      <c r="T15" s="458">
        <v>74</v>
      </c>
      <c r="U15" s="400">
        <v>91</v>
      </c>
      <c r="V15" s="204">
        <v>82</v>
      </c>
      <c r="W15" s="204">
        <v>133</v>
      </c>
      <c r="X15" s="205">
        <v>133</v>
      </c>
      <c r="Y15" s="205">
        <v>113</v>
      </c>
      <c r="Z15" s="204">
        <v>130</v>
      </c>
      <c r="AA15" s="204">
        <v>137</v>
      </c>
      <c r="AB15" s="204">
        <v>127</v>
      </c>
      <c r="AC15" s="204">
        <v>103</v>
      </c>
      <c r="AD15" s="144">
        <v>101</v>
      </c>
      <c r="AE15" s="356">
        <f t="shared" si="0"/>
        <v>-1.9417475728155338E-2</v>
      </c>
      <c r="AF15" s="356">
        <f t="shared" si="1"/>
        <v>-0.10619469026548672</v>
      </c>
      <c r="AG15" s="357">
        <f t="shared" si="2"/>
        <v>0.36486486486486486</v>
      </c>
      <c r="AH15" s="210">
        <f t="shared" si="3"/>
        <v>110.33333333333333</v>
      </c>
    </row>
    <row r="16" spans="1:34" ht="15" customHeight="1" thickBot="1" x14ac:dyDescent="0.25">
      <c r="A16" s="217" t="s">
        <v>86</v>
      </c>
      <c r="B16" s="218">
        <f t="shared" ref="B16:AD16" si="6">+B15+B14+B13</f>
        <v>145</v>
      </c>
      <c r="C16" s="218">
        <f t="shared" si="6"/>
        <v>174</v>
      </c>
      <c r="D16" s="218">
        <f t="shared" si="6"/>
        <v>152</v>
      </c>
      <c r="E16" s="218">
        <f t="shared" si="6"/>
        <v>150</v>
      </c>
      <c r="F16" s="218">
        <f t="shared" si="6"/>
        <v>143</v>
      </c>
      <c r="G16" s="218">
        <f t="shared" si="6"/>
        <v>114</v>
      </c>
      <c r="H16" s="218">
        <f t="shared" si="6"/>
        <v>141</v>
      </c>
      <c r="I16" s="218">
        <f t="shared" si="6"/>
        <v>129</v>
      </c>
      <c r="J16" s="218">
        <f t="shared" si="6"/>
        <v>157</v>
      </c>
      <c r="K16" s="218">
        <f t="shared" si="6"/>
        <v>174</v>
      </c>
      <c r="L16" s="218">
        <f t="shared" si="6"/>
        <v>197</v>
      </c>
      <c r="M16" s="218">
        <f t="shared" si="6"/>
        <v>216</v>
      </c>
      <c r="N16" s="218">
        <f t="shared" si="6"/>
        <v>213</v>
      </c>
      <c r="O16" s="391">
        <f t="shared" si="6"/>
        <v>245</v>
      </c>
      <c r="P16" s="391">
        <f t="shared" si="6"/>
        <v>242</v>
      </c>
      <c r="Q16" s="459">
        <f t="shared" si="6"/>
        <v>255</v>
      </c>
      <c r="R16" s="459">
        <f>+R15+R14+R13</f>
        <v>303</v>
      </c>
      <c r="S16" s="459">
        <f t="shared" si="6"/>
        <v>323</v>
      </c>
      <c r="T16" s="459">
        <f t="shared" si="6"/>
        <v>330</v>
      </c>
      <c r="U16" s="288">
        <f t="shared" si="6"/>
        <v>373</v>
      </c>
      <c r="V16" s="218">
        <f t="shared" si="6"/>
        <v>376</v>
      </c>
      <c r="W16" s="218">
        <f t="shared" si="6"/>
        <v>427</v>
      </c>
      <c r="X16" s="218">
        <f t="shared" si="6"/>
        <v>470</v>
      </c>
      <c r="Y16" s="218">
        <f t="shared" si="6"/>
        <v>423</v>
      </c>
      <c r="Z16" s="218">
        <f t="shared" si="6"/>
        <v>401</v>
      </c>
      <c r="AA16" s="218">
        <f t="shared" si="6"/>
        <v>454</v>
      </c>
      <c r="AB16" s="218">
        <f t="shared" ref="AB16:AC16" si="7">+AB15+AB14+AB13</f>
        <v>400</v>
      </c>
      <c r="AC16" s="218">
        <f t="shared" si="7"/>
        <v>426</v>
      </c>
      <c r="AD16" s="218">
        <f t="shared" si="6"/>
        <v>372</v>
      </c>
      <c r="AE16" s="360">
        <f>IF(AD16=0," ",IF(AH16&gt;20,(AD16-AC16)/AC16," "))</f>
        <v>-0.12676056338028169</v>
      </c>
      <c r="AF16" s="360">
        <f>IF(AD16=0," ",IF(AH16&gt;20,(AD16-Y16)/Y16," "))</f>
        <v>-0.12056737588652482</v>
      </c>
      <c r="AG16" s="360">
        <f>IF(AD16=0," ",(IF(AH16&gt;20,(AD16-T16)/T16," ")))</f>
        <v>0.12727272727272726</v>
      </c>
      <c r="AH16" s="305">
        <f>IF(AB16&gt;0,AVERAGE(AB16:AD16),"  ")</f>
        <v>399.33333333333331</v>
      </c>
    </row>
    <row r="17" spans="1:39" ht="15" customHeight="1" thickTop="1" x14ac:dyDescent="0.2">
      <c r="A17" s="119" t="s">
        <v>87</v>
      </c>
      <c r="B17" s="112"/>
      <c r="C17" s="112"/>
      <c r="D17" s="113"/>
      <c r="E17" s="113"/>
      <c r="F17" s="114"/>
      <c r="G17" s="114"/>
      <c r="H17" s="114"/>
      <c r="I17" s="114"/>
      <c r="J17" s="113"/>
      <c r="K17" s="113"/>
      <c r="L17" s="113"/>
      <c r="M17" s="113"/>
      <c r="N17" s="115"/>
      <c r="O17" s="115"/>
      <c r="P17" s="115"/>
      <c r="Q17" s="115"/>
      <c r="R17" s="115"/>
      <c r="S17" s="116"/>
      <c r="T17" s="116"/>
      <c r="U17" s="116"/>
      <c r="V17" s="116"/>
      <c r="W17" s="116"/>
      <c r="X17" s="117"/>
      <c r="Y17" s="117"/>
      <c r="Z17" s="118"/>
      <c r="AA17" s="118"/>
      <c r="AB17" s="118"/>
      <c r="AC17" s="118"/>
      <c r="AD17" s="118"/>
      <c r="AE17" s="304"/>
      <c r="AF17" s="304"/>
      <c r="AG17" s="304"/>
      <c r="AH17" s="329"/>
    </row>
    <row r="18" spans="1:39" ht="15" customHeight="1" x14ac:dyDescent="0.2">
      <c r="A18" s="17" t="s">
        <v>2</v>
      </c>
      <c r="B18" s="174">
        <v>27</v>
      </c>
      <c r="C18" s="174">
        <v>18</v>
      </c>
      <c r="D18" s="174">
        <v>28</v>
      </c>
      <c r="E18" s="174">
        <v>21</v>
      </c>
      <c r="F18" s="174">
        <v>17</v>
      </c>
      <c r="G18" s="174">
        <v>23</v>
      </c>
      <c r="H18" s="157">
        <v>27</v>
      </c>
      <c r="I18" s="157">
        <v>31</v>
      </c>
      <c r="J18" s="174">
        <v>37</v>
      </c>
      <c r="K18" s="174">
        <v>41</v>
      </c>
      <c r="L18" s="174">
        <v>27</v>
      </c>
      <c r="M18" s="174">
        <v>32</v>
      </c>
      <c r="N18" s="157">
        <v>18</v>
      </c>
      <c r="O18" s="385">
        <v>21</v>
      </c>
      <c r="P18" s="385">
        <v>16</v>
      </c>
      <c r="Q18" s="460">
        <v>10</v>
      </c>
      <c r="R18" s="460">
        <v>17</v>
      </c>
      <c r="S18" s="503">
        <v>17</v>
      </c>
      <c r="T18" s="460">
        <v>12</v>
      </c>
      <c r="U18" s="401">
        <v>7</v>
      </c>
      <c r="V18" s="156">
        <v>11</v>
      </c>
      <c r="W18" s="156">
        <v>6</v>
      </c>
      <c r="X18" s="157">
        <v>9</v>
      </c>
      <c r="Y18" s="157">
        <v>13</v>
      </c>
      <c r="Z18" s="156">
        <v>7</v>
      </c>
      <c r="AA18" s="156">
        <v>2</v>
      </c>
      <c r="AB18" s="156">
        <v>6</v>
      </c>
      <c r="AC18" s="156">
        <v>5</v>
      </c>
      <c r="AD18" s="175">
        <v>4</v>
      </c>
      <c r="AE18" s="343" t="str">
        <f t="shared" ref="AE18:AE38" si="8">IF(AD18=0," ",IF(AH18&gt;20,(AD18-AC18)/AC18," "))</f>
        <v xml:space="preserve"> </v>
      </c>
      <c r="AF18" s="344" t="str">
        <f t="shared" ref="AF18:AF38" si="9">IF(AD18=0," ",IF(AH18&gt;20,(AD18-Y18)/Y18," "))</f>
        <v xml:space="preserve"> </v>
      </c>
      <c r="AG18" s="345" t="str">
        <f t="shared" ref="AG18:AG38" si="10">IF(AD18=0," ",(IF(AH18&gt;20,(AD18-T18)/T18," ")))</f>
        <v xml:space="preserve"> </v>
      </c>
      <c r="AH18" s="211">
        <f t="shared" ref="AH18:AH38" si="11">IF(AB18&gt;0,AVERAGE(AB18:AD18),"  ")</f>
        <v>5</v>
      </c>
    </row>
    <row r="19" spans="1:39" ht="15" customHeight="1" x14ac:dyDescent="0.2">
      <c r="A19" s="17" t="s">
        <v>40</v>
      </c>
      <c r="B19" s="133">
        <v>1</v>
      </c>
      <c r="C19" s="133">
        <v>3</v>
      </c>
      <c r="D19" s="133">
        <v>3</v>
      </c>
      <c r="E19" s="133">
        <v>0</v>
      </c>
      <c r="F19" s="133">
        <v>3</v>
      </c>
      <c r="G19" s="133">
        <v>2</v>
      </c>
      <c r="H19" s="22">
        <v>2</v>
      </c>
      <c r="I19" s="22">
        <v>2</v>
      </c>
      <c r="J19" s="133">
        <v>11</v>
      </c>
      <c r="K19" s="133">
        <v>15</v>
      </c>
      <c r="L19" s="133">
        <v>17</v>
      </c>
      <c r="M19" s="133">
        <v>25</v>
      </c>
      <c r="N19" s="22">
        <v>34</v>
      </c>
      <c r="O19" s="386">
        <v>40</v>
      </c>
      <c r="P19" s="386">
        <v>44</v>
      </c>
      <c r="Q19" s="454">
        <v>44</v>
      </c>
      <c r="R19" s="454">
        <v>56</v>
      </c>
      <c r="S19" s="504">
        <f>40+1</f>
        <v>41</v>
      </c>
      <c r="T19" s="454">
        <v>54</v>
      </c>
      <c r="U19" s="397">
        <v>39</v>
      </c>
      <c r="V19" s="134">
        <v>53</v>
      </c>
      <c r="W19" s="134">
        <v>43</v>
      </c>
      <c r="X19" s="22">
        <v>47</v>
      </c>
      <c r="Y19" s="22">
        <v>44</v>
      </c>
      <c r="Z19" s="134">
        <v>43</v>
      </c>
      <c r="AA19" s="134">
        <v>45</v>
      </c>
      <c r="AB19" s="134">
        <v>43</v>
      </c>
      <c r="AC19" s="134">
        <v>36</v>
      </c>
      <c r="AD19" s="135">
        <v>28</v>
      </c>
      <c r="AE19" s="343">
        <f t="shared" si="8"/>
        <v>-0.22222222222222221</v>
      </c>
      <c r="AF19" s="344">
        <f t="shared" si="9"/>
        <v>-0.36363636363636365</v>
      </c>
      <c r="AG19" s="345">
        <f t="shared" si="10"/>
        <v>-0.48148148148148145</v>
      </c>
      <c r="AH19" s="211">
        <f t="shared" si="11"/>
        <v>35.666666666666664</v>
      </c>
    </row>
    <row r="20" spans="1:39" ht="15" customHeight="1" x14ac:dyDescent="0.2">
      <c r="A20" s="17" t="s">
        <v>141</v>
      </c>
      <c r="B20" s="133">
        <v>77</v>
      </c>
      <c r="C20" s="133">
        <v>97</v>
      </c>
      <c r="D20" s="133">
        <v>92</v>
      </c>
      <c r="E20" s="133">
        <v>95</v>
      </c>
      <c r="F20" s="133">
        <v>115</v>
      </c>
      <c r="G20" s="133">
        <v>94</v>
      </c>
      <c r="H20" s="22">
        <v>122</v>
      </c>
      <c r="I20" s="22">
        <v>129</v>
      </c>
      <c r="J20" s="133">
        <v>143</v>
      </c>
      <c r="K20" s="133">
        <v>135</v>
      </c>
      <c r="L20" s="133">
        <v>131</v>
      </c>
      <c r="M20" s="133">
        <v>142</v>
      </c>
      <c r="N20" s="22">
        <v>133</v>
      </c>
      <c r="O20" s="386">
        <v>155</v>
      </c>
      <c r="P20" s="386">
        <v>159</v>
      </c>
      <c r="Q20" s="454">
        <v>176</v>
      </c>
      <c r="R20" s="454">
        <v>138</v>
      </c>
      <c r="S20" s="504">
        <f>178+1</f>
        <v>179</v>
      </c>
      <c r="T20" s="454">
        <v>194</v>
      </c>
      <c r="U20" s="397">
        <f>182+3</f>
        <v>185</v>
      </c>
      <c r="V20" s="134">
        <v>162</v>
      </c>
      <c r="W20" s="134">
        <f>172+1</f>
        <v>173</v>
      </c>
      <c r="X20" s="22">
        <v>159</v>
      </c>
      <c r="Y20" s="22">
        <v>145</v>
      </c>
      <c r="Z20" s="134">
        <v>138</v>
      </c>
      <c r="AA20" s="134">
        <v>174</v>
      </c>
      <c r="AB20" s="134">
        <v>157</v>
      </c>
      <c r="AC20" s="134">
        <v>156</v>
      </c>
      <c r="AD20" s="135">
        <v>125</v>
      </c>
      <c r="AE20" s="343">
        <f t="shared" si="8"/>
        <v>-0.19871794871794871</v>
      </c>
      <c r="AF20" s="344">
        <f t="shared" si="9"/>
        <v>-0.13793103448275862</v>
      </c>
      <c r="AG20" s="345">
        <f t="shared" si="10"/>
        <v>-0.35567010309278352</v>
      </c>
      <c r="AH20" s="211">
        <f t="shared" si="11"/>
        <v>146</v>
      </c>
    </row>
    <row r="21" spans="1:39" ht="15" customHeight="1" x14ac:dyDescent="0.2">
      <c r="A21" s="25" t="s">
        <v>7</v>
      </c>
      <c r="B21" s="176"/>
      <c r="C21" s="176"/>
      <c r="D21" s="176"/>
      <c r="E21" s="176"/>
      <c r="F21" s="176"/>
      <c r="G21" s="176"/>
      <c r="H21" s="177"/>
      <c r="I21" s="177">
        <v>4</v>
      </c>
      <c r="J21" s="176">
        <v>3</v>
      </c>
      <c r="K21" s="176">
        <v>11</v>
      </c>
      <c r="L21" s="176">
        <v>15</v>
      </c>
      <c r="M21" s="176">
        <v>12</v>
      </c>
      <c r="N21" s="177">
        <v>14</v>
      </c>
      <c r="O21" s="392">
        <v>14</v>
      </c>
      <c r="P21" s="392">
        <v>19</v>
      </c>
      <c r="Q21" s="461">
        <v>18</v>
      </c>
      <c r="R21" s="461">
        <v>26</v>
      </c>
      <c r="S21" s="508">
        <f>33+1</f>
        <v>34</v>
      </c>
      <c r="T21" s="461">
        <v>44</v>
      </c>
      <c r="U21" s="402">
        <f>40+1+3</f>
        <v>44</v>
      </c>
      <c r="V21" s="152">
        <v>41</v>
      </c>
      <c r="W21" s="152">
        <v>32</v>
      </c>
      <c r="X21" s="177">
        <v>36</v>
      </c>
      <c r="Y21" s="177">
        <v>33</v>
      </c>
      <c r="Z21" s="152">
        <v>23</v>
      </c>
      <c r="AA21" s="152">
        <v>33</v>
      </c>
      <c r="AB21" s="152">
        <v>27</v>
      </c>
      <c r="AC21" s="152">
        <v>26</v>
      </c>
      <c r="AD21" s="178">
        <v>14</v>
      </c>
      <c r="AE21" s="340">
        <f t="shared" si="8"/>
        <v>-0.46153846153846156</v>
      </c>
      <c r="AF21" s="341">
        <f t="shared" si="9"/>
        <v>-0.5757575757575758</v>
      </c>
      <c r="AG21" s="342">
        <f t="shared" si="10"/>
        <v>-0.68181818181818177</v>
      </c>
      <c r="AH21" s="363">
        <f t="shared" si="11"/>
        <v>22.333333333333332</v>
      </c>
    </row>
    <row r="22" spans="1:39" ht="15" customHeight="1" x14ac:dyDescent="0.2">
      <c r="A22" s="17" t="s">
        <v>11</v>
      </c>
      <c r="B22" s="133">
        <v>35</v>
      </c>
      <c r="C22" s="133">
        <v>42</v>
      </c>
      <c r="D22" s="133">
        <v>31</v>
      </c>
      <c r="E22" s="133">
        <v>33</v>
      </c>
      <c r="F22" s="133">
        <v>31</v>
      </c>
      <c r="G22" s="133">
        <v>33</v>
      </c>
      <c r="H22" s="22">
        <v>42</v>
      </c>
      <c r="I22" s="22">
        <v>31</v>
      </c>
      <c r="J22" s="133">
        <v>38</v>
      </c>
      <c r="K22" s="133">
        <v>46</v>
      </c>
      <c r="L22" s="133">
        <v>45</v>
      </c>
      <c r="M22" s="133">
        <v>38</v>
      </c>
      <c r="N22" s="22">
        <v>45</v>
      </c>
      <c r="O22" s="386">
        <v>53</v>
      </c>
      <c r="P22" s="386">
        <v>46</v>
      </c>
      <c r="Q22" s="454">
        <v>64</v>
      </c>
      <c r="R22" s="454">
        <v>48</v>
      </c>
      <c r="S22" s="504">
        <f>60+2</f>
        <v>62</v>
      </c>
      <c r="T22" s="454">
        <v>54</v>
      </c>
      <c r="U22" s="397">
        <f>43+3</f>
        <v>46</v>
      </c>
      <c r="V22" s="134">
        <v>52</v>
      </c>
      <c r="W22" s="134">
        <f>50+4</f>
        <v>54</v>
      </c>
      <c r="X22" s="22">
        <v>50</v>
      </c>
      <c r="Y22" s="22">
        <v>44</v>
      </c>
      <c r="Z22" s="134">
        <v>37</v>
      </c>
      <c r="AA22" s="134">
        <v>56</v>
      </c>
      <c r="AB22" s="134">
        <v>44</v>
      </c>
      <c r="AC22" s="134">
        <v>31</v>
      </c>
      <c r="AD22" s="135">
        <v>43</v>
      </c>
      <c r="AE22" s="343">
        <f t="shared" si="8"/>
        <v>0.38709677419354838</v>
      </c>
      <c r="AF22" s="344">
        <f t="shared" si="9"/>
        <v>-2.2727272727272728E-2</v>
      </c>
      <c r="AG22" s="345">
        <f t="shared" si="10"/>
        <v>-0.20370370370370369</v>
      </c>
      <c r="AH22" s="211">
        <f t="shared" si="11"/>
        <v>39.333333333333336</v>
      </c>
    </row>
    <row r="23" spans="1:39" ht="15" customHeight="1" x14ac:dyDescent="0.2">
      <c r="A23" s="17" t="s">
        <v>58</v>
      </c>
      <c r="B23" s="133"/>
      <c r="C23" s="133"/>
      <c r="D23" s="133"/>
      <c r="E23" s="133"/>
      <c r="F23" s="133"/>
      <c r="G23" s="133"/>
      <c r="H23" s="22"/>
      <c r="I23" s="22"/>
      <c r="J23" s="133"/>
      <c r="K23" s="133"/>
      <c r="L23" s="133"/>
      <c r="M23" s="133"/>
      <c r="N23" s="22"/>
      <c r="O23" s="386">
        <v>1</v>
      </c>
      <c r="P23" s="386">
        <v>2</v>
      </c>
      <c r="Q23" s="454">
        <v>2</v>
      </c>
      <c r="R23" s="454">
        <v>0</v>
      </c>
      <c r="S23" s="504">
        <v>1</v>
      </c>
      <c r="T23" s="454">
        <v>2</v>
      </c>
      <c r="U23" s="397">
        <v>2</v>
      </c>
      <c r="V23" s="134">
        <v>2</v>
      </c>
      <c r="W23" s="134">
        <v>4</v>
      </c>
      <c r="X23" s="22">
        <v>3</v>
      </c>
      <c r="Y23" s="22">
        <v>0</v>
      </c>
      <c r="Z23" s="134">
        <v>1</v>
      </c>
      <c r="AA23" s="134">
        <v>2</v>
      </c>
      <c r="AB23" s="134">
        <v>3</v>
      </c>
      <c r="AC23" s="134">
        <v>1</v>
      </c>
      <c r="AD23" s="135">
        <v>1</v>
      </c>
      <c r="AE23" s="343" t="str">
        <f t="shared" si="8"/>
        <v xml:space="preserve"> </v>
      </c>
      <c r="AF23" s="344" t="str">
        <f t="shared" si="9"/>
        <v xml:space="preserve"> </v>
      </c>
      <c r="AG23" s="345" t="str">
        <f t="shared" si="10"/>
        <v xml:space="preserve"> </v>
      </c>
      <c r="AH23" s="211">
        <f t="shared" si="11"/>
        <v>1.6666666666666667</v>
      </c>
    </row>
    <row r="24" spans="1:39" ht="15" customHeight="1" x14ac:dyDescent="0.2">
      <c r="A24" s="18" t="s">
        <v>62</v>
      </c>
      <c r="B24" s="139"/>
      <c r="C24" s="139"/>
      <c r="D24" s="139"/>
      <c r="E24" s="139"/>
      <c r="F24" s="139"/>
      <c r="G24" s="139"/>
      <c r="H24" s="27"/>
      <c r="I24" s="27"/>
      <c r="J24" s="139"/>
      <c r="K24" s="139"/>
      <c r="L24" s="139"/>
      <c r="M24" s="139">
        <v>1</v>
      </c>
      <c r="N24" s="27">
        <v>4</v>
      </c>
      <c r="O24" s="387">
        <v>3</v>
      </c>
      <c r="P24" s="387">
        <v>6</v>
      </c>
      <c r="Q24" s="455">
        <v>17</v>
      </c>
      <c r="R24" s="455">
        <f>17+1</f>
        <v>18</v>
      </c>
      <c r="S24" s="505">
        <v>23</v>
      </c>
      <c r="T24" s="455">
        <v>21</v>
      </c>
      <c r="U24" s="398">
        <f>47+1</f>
        <v>48</v>
      </c>
      <c r="V24" s="140">
        <v>42</v>
      </c>
      <c r="W24" s="140">
        <f>42+2</f>
        <v>44</v>
      </c>
      <c r="X24" s="27">
        <v>40</v>
      </c>
      <c r="Y24" s="27">
        <v>53</v>
      </c>
      <c r="Z24" s="140">
        <v>47</v>
      </c>
      <c r="AA24" s="140">
        <v>49</v>
      </c>
      <c r="AB24" s="140">
        <v>51</v>
      </c>
      <c r="AC24" s="140">
        <v>38</v>
      </c>
      <c r="AD24" s="141">
        <v>33</v>
      </c>
      <c r="AE24" s="346">
        <f t="shared" si="8"/>
        <v>-0.13157894736842105</v>
      </c>
      <c r="AF24" s="347">
        <f t="shared" si="9"/>
        <v>-0.37735849056603776</v>
      </c>
      <c r="AG24" s="348">
        <f t="shared" si="10"/>
        <v>0.5714285714285714</v>
      </c>
      <c r="AH24" s="364">
        <f t="shared" si="11"/>
        <v>40.666666666666664</v>
      </c>
    </row>
    <row r="25" spans="1:39" ht="15" customHeight="1" x14ac:dyDescent="0.2">
      <c r="A25" s="17" t="s">
        <v>14</v>
      </c>
      <c r="B25" s="133">
        <v>3</v>
      </c>
      <c r="C25" s="133">
        <v>2</v>
      </c>
      <c r="D25" s="133">
        <v>1</v>
      </c>
      <c r="E25" s="133">
        <v>2</v>
      </c>
      <c r="F25" s="133">
        <v>1</v>
      </c>
      <c r="G25" s="133">
        <v>3</v>
      </c>
      <c r="H25" s="22">
        <v>1</v>
      </c>
      <c r="I25" s="22">
        <v>3</v>
      </c>
      <c r="J25" s="133">
        <v>5</v>
      </c>
      <c r="K25" s="133">
        <v>1</v>
      </c>
      <c r="L25" s="133">
        <v>5</v>
      </c>
      <c r="M25" s="133">
        <v>2</v>
      </c>
      <c r="N25" s="22">
        <v>1</v>
      </c>
      <c r="O25" s="386">
        <v>3</v>
      </c>
      <c r="P25" s="386">
        <v>2</v>
      </c>
      <c r="Q25" s="454">
        <v>0</v>
      </c>
      <c r="R25" s="454">
        <v>2</v>
      </c>
      <c r="S25" s="504">
        <v>2</v>
      </c>
      <c r="T25" s="454">
        <v>2</v>
      </c>
      <c r="U25" s="397">
        <v>1</v>
      </c>
      <c r="V25" s="134">
        <v>4</v>
      </c>
      <c r="W25" s="134">
        <f>3+3</f>
        <v>6</v>
      </c>
      <c r="X25" s="22">
        <v>1</v>
      </c>
      <c r="Y25" s="22">
        <v>4</v>
      </c>
      <c r="Z25" s="134">
        <v>5</v>
      </c>
      <c r="AA25" s="134">
        <v>3</v>
      </c>
      <c r="AB25" s="134">
        <v>5</v>
      </c>
      <c r="AC25" s="134">
        <v>3</v>
      </c>
      <c r="AD25" s="135">
        <v>3</v>
      </c>
      <c r="AE25" s="343" t="str">
        <f t="shared" si="8"/>
        <v xml:space="preserve"> </v>
      </c>
      <c r="AF25" s="344" t="str">
        <f t="shared" si="9"/>
        <v xml:space="preserve"> </v>
      </c>
      <c r="AG25" s="345" t="str">
        <f t="shared" si="10"/>
        <v xml:space="preserve"> </v>
      </c>
      <c r="AH25" s="211">
        <f t="shared" si="11"/>
        <v>3.6666666666666665</v>
      </c>
    </row>
    <row r="26" spans="1:39" ht="15" customHeight="1" x14ac:dyDescent="0.2">
      <c r="A26" s="17" t="s">
        <v>17</v>
      </c>
      <c r="B26" s="133">
        <v>43</v>
      </c>
      <c r="C26" s="133">
        <v>47</v>
      </c>
      <c r="D26" s="133">
        <v>50</v>
      </c>
      <c r="E26" s="133">
        <v>65</v>
      </c>
      <c r="F26" s="133">
        <v>47</v>
      </c>
      <c r="G26" s="133">
        <v>37</v>
      </c>
      <c r="H26" s="22">
        <v>33</v>
      </c>
      <c r="I26" s="22">
        <v>45</v>
      </c>
      <c r="J26" s="133">
        <v>52</v>
      </c>
      <c r="K26" s="133">
        <v>85</v>
      </c>
      <c r="L26" s="133">
        <v>72</v>
      </c>
      <c r="M26" s="133">
        <v>55</v>
      </c>
      <c r="N26" s="22">
        <v>67</v>
      </c>
      <c r="O26" s="386">
        <v>50</v>
      </c>
      <c r="P26" s="386">
        <v>60</v>
      </c>
      <c r="Q26" s="454">
        <v>70</v>
      </c>
      <c r="R26" s="454">
        <f>75+1</f>
        <v>76</v>
      </c>
      <c r="S26" s="504">
        <f>53+2</f>
        <v>55</v>
      </c>
      <c r="T26" s="454">
        <v>66</v>
      </c>
      <c r="U26" s="397">
        <f>50+3</f>
        <v>53</v>
      </c>
      <c r="V26" s="134">
        <v>47</v>
      </c>
      <c r="W26" s="134">
        <v>39</v>
      </c>
      <c r="X26" s="22">
        <v>42</v>
      </c>
      <c r="Y26" s="22">
        <v>46</v>
      </c>
      <c r="Z26" s="134">
        <v>37</v>
      </c>
      <c r="AA26" s="134">
        <v>31</v>
      </c>
      <c r="AB26" s="134">
        <v>35</v>
      </c>
      <c r="AC26" s="134">
        <v>35</v>
      </c>
      <c r="AD26" s="135">
        <v>35</v>
      </c>
      <c r="AE26" s="343">
        <f t="shared" si="8"/>
        <v>0</v>
      </c>
      <c r="AF26" s="344">
        <f t="shared" si="9"/>
        <v>-0.2391304347826087</v>
      </c>
      <c r="AG26" s="345">
        <f t="shared" si="10"/>
        <v>-0.46969696969696972</v>
      </c>
      <c r="AH26" s="211">
        <f t="shared" si="11"/>
        <v>35</v>
      </c>
      <c r="AM26" s="151" t="s">
        <v>69</v>
      </c>
    </row>
    <row r="27" spans="1:39" ht="15" customHeight="1" x14ac:dyDescent="0.2">
      <c r="A27" s="17" t="s">
        <v>18</v>
      </c>
      <c r="B27" s="133"/>
      <c r="C27" s="133"/>
      <c r="D27" s="133"/>
      <c r="E27" s="133"/>
      <c r="F27" s="133"/>
      <c r="G27" s="133"/>
      <c r="H27" s="22"/>
      <c r="I27" s="22">
        <v>26</v>
      </c>
      <c r="J27" s="133">
        <v>53</v>
      </c>
      <c r="K27" s="133">
        <v>63</v>
      </c>
      <c r="L27" s="133">
        <v>55</v>
      </c>
      <c r="M27" s="133">
        <v>58</v>
      </c>
      <c r="N27" s="22">
        <v>61</v>
      </c>
      <c r="O27" s="386">
        <v>71</v>
      </c>
      <c r="P27" s="386">
        <v>67</v>
      </c>
      <c r="Q27" s="454">
        <v>52</v>
      </c>
      <c r="R27" s="454">
        <v>66</v>
      </c>
      <c r="S27" s="504">
        <v>67</v>
      </c>
      <c r="T27" s="454">
        <v>53</v>
      </c>
      <c r="U27" s="397">
        <v>51</v>
      </c>
      <c r="V27" s="134">
        <v>58</v>
      </c>
      <c r="W27" s="134">
        <v>56</v>
      </c>
      <c r="X27" s="22">
        <v>64</v>
      </c>
      <c r="Y27" s="22">
        <v>54</v>
      </c>
      <c r="Z27" s="134">
        <v>55</v>
      </c>
      <c r="AA27" s="134">
        <v>66</v>
      </c>
      <c r="AB27" s="134">
        <v>50</v>
      </c>
      <c r="AC27" s="134">
        <v>43</v>
      </c>
      <c r="AD27" s="135">
        <v>64</v>
      </c>
      <c r="AE27" s="343">
        <f t="shared" si="8"/>
        <v>0.48837209302325579</v>
      </c>
      <c r="AF27" s="344">
        <f t="shared" si="9"/>
        <v>0.18518518518518517</v>
      </c>
      <c r="AG27" s="345">
        <f t="shared" si="10"/>
        <v>0.20754716981132076</v>
      </c>
      <c r="AH27" s="211">
        <f t="shared" si="11"/>
        <v>52.333333333333336</v>
      </c>
      <c r="AM27" s="151"/>
    </row>
    <row r="28" spans="1:39" ht="15" customHeight="1" x14ac:dyDescent="0.2">
      <c r="A28" s="17" t="s">
        <v>19</v>
      </c>
      <c r="B28" s="133"/>
      <c r="C28" s="133"/>
      <c r="D28" s="133"/>
      <c r="E28" s="133"/>
      <c r="F28" s="133"/>
      <c r="G28" s="133"/>
      <c r="H28" s="22"/>
      <c r="I28" s="22"/>
      <c r="J28" s="133"/>
      <c r="K28" s="133"/>
      <c r="L28" s="133">
        <v>1</v>
      </c>
      <c r="M28" s="133">
        <v>6</v>
      </c>
      <c r="N28" s="22">
        <v>9</v>
      </c>
      <c r="O28" s="386">
        <v>12</v>
      </c>
      <c r="P28" s="386">
        <v>11</v>
      </c>
      <c r="Q28" s="454">
        <v>11</v>
      </c>
      <c r="R28" s="454">
        <f>21+2</f>
        <v>23</v>
      </c>
      <c r="S28" s="504">
        <f>25+2</f>
        <v>27</v>
      </c>
      <c r="T28" s="454">
        <v>16</v>
      </c>
      <c r="U28" s="397">
        <f>17+1</f>
        <v>18</v>
      </c>
      <c r="V28" s="134">
        <v>15</v>
      </c>
      <c r="W28" s="134">
        <f>12+1</f>
        <v>13</v>
      </c>
      <c r="X28" s="22">
        <v>15</v>
      </c>
      <c r="Y28" s="22">
        <v>17</v>
      </c>
      <c r="Z28" s="134">
        <v>19</v>
      </c>
      <c r="AA28" s="134">
        <v>23</v>
      </c>
      <c r="AB28" s="134">
        <v>13</v>
      </c>
      <c r="AC28" s="134">
        <v>12</v>
      </c>
      <c r="AD28" s="135">
        <v>12</v>
      </c>
      <c r="AE28" s="343" t="str">
        <f t="shared" si="8"/>
        <v xml:space="preserve"> </v>
      </c>
      <c r="AF28" s="344" t="str">
        <f t="shared" si="9"/>
        <v xml:space="preserve"> </v>
      </c>
      <c r="AG28" s="345" t="str">
        <f t="shared" si="10"/>
        <v xml:space="preserve"> </v>
      </c>
      <c r="AH28" s="211">
        <f t="shared" si="11"/>
        <v>12.333333333333334</v>
      </c>
      <c r="AM28" s="151" t="s">
        <v>70</v>
      </c>
    </row>
    <row r="29" spans="1:39" ht="15" hidden="1" customHeight="1" x14ac:dyDescent="0.2">
      <c r="A29" s="17" t="s">
        <v>47</v>
      </c>
      <c r="B29" s="133">
        <v>79</v>
      </c>
      <c r="C29" s="133">
        <v>83</v>
      </c>
      <c r="D29" s="133">
        <v>66</v>
      </c>
      <c r="E29" s="133">
        <v>75</v>
      </c>
      <c r="F29" s="133">
        <v>62</v>
      </c>
      <c r="G29" s="133">
        <v>65</v>
      </c>
      <c r="H29" s="22">
        <v>69</v>
      </c>
      <c r="I29" s="22">
        <v>52</v>
      </c>
      <c r="J29" s="133">
        <v>12</v>
      </c>
      <c r="K29" s="133">
        <v>2</v>
      </c>
      <c r="L29" s="133">
        <v>0</v>
      </c>
      <c r="M29" s="133">
        <v>1</v>
      </c>
      <c r="N29" s="22"/>
      <c r="O29" s="386"/>
      <c r="P29" s="386"/>
      <c r="Q29" s="454"/>
      <c r="R29" s="454"/>
      <c r="S29" s="504"/>
      <c r="T29" s="454"/>
      <c r="U29" s="397"/>
      <c r="V29" s="134"/>
      <c r="W29" s="134"/>
      <c r="X29" s="22"/>
      <c r="Y29" s="22"/>
      <c r="Z29" s="134"/>
      <c r="AA29" s="134"/>
      <c r="AB29" s="134"/>
      <c r="AC29" s="134"/>
      <c r="AD29" s="135"/>
      <c r="AE29" s="343" t="str">
        <f t="shared" si="8"/>
        <v xml:space="preserve"> </v>
      </c>
      <c r="AF29" s="344" t="str">
        <f t="shared" si="9"/>
        <v xml:space="preserve"> </v>
      </c>
      <c r="AG29" s="345" t="str">
        <f t="shared" si="10"/>
        <v xml:space="preserve"> </v>
      </c>
      <c r="AH29" s="211" t="str">
        <f t="shared" si="11"/>
        <v xml:space="preserve">  </v>
      </c>
    </row>
    <row r="30" spans="1:39" ht="15" customHeight="1" x14ac:dyDescent="0.2">
      <c r="A30" s="179" t="s">
        <v>23</v>
      </c>
      <c r="B30" s="176">
        <v>2</v>
      </c>
      <c r="C30" s="176">
        <v>7</v>
      </c>
      <c r="D30" s="176">
        <v>6</v>
      </c>
      <c r="E30" s="176">
        <v>5</v>
      </c>
      <c r="F30" s="176">
        <v>4</v>
      </c>
      <c r="G30" s="176">
        <v>1</v>
      </c>
      <c r="H30" s="177">
        <v>5</v>
      </c>
      <c r="I30" s="177">
        <v>8</v>
      </c>
      <c r="J30" s="176">
        <v>9</v>
      </c>
      <c r="K30" s="176">
        <v>2</v>
      </c>
      <c r="L30" s="176">
        <v>5</v>
      </c>
      <c r="M30" s="176">
        <v>6</v>
      </c>
      <c r="N30" s="177">
        <v>2</v>
      </c>
      <c r="O30" s="392">
        <v>6</v>
      </c>
      <c r="P30" s="392">
        <v>7</v>
      </c>
      <c r="Q30" s="461">
        <v>9</v>
      </c>
      <c r="R30" s="461">
        <v>7</v>
      </c>
      <c r="S30" s="508">
        <v>10</v>
      </c>
      <c r="T30" s="461">
        <v>5</v>
      </c>
      <c r="U30" s="402">
        <v>9</v>
      </c>
      <c r="V30" s="152">
        <v>18</v>
      </c>
      <c r="W30" s="152">
        <v>8</v>
      </c>
      <c r="X30" s="177">
        <v>10</v>
      </c>
      <c r="Y30" s="177">
        <v>12</v>
      </c>
      <c r="Z30" s="152">
        <v>13</v>
      </c>
      <c r="AA30" s="152">
        <v>7</v>
      </c>
      <c r="AB30" s="152">
        <v>18</v>
      </c>
      <c r="AC30" s="152">
        <v>5</v>
      </c>
      <c r="AD30" s="178">
        <v>4</v>
      </c>
      <c r="AE30" s="340" t="str">
        <f t="shared" si="8"/>
        <v xml:space="preserve"> </v>
      </c>
      <c r="AF30" s="341" t="str">
        <f t="shared" si="9"/>
        <v xml:space="preserve"> </v>
      </c>
      <c r="AG30" s="342" t="str">
        <f t="shared" si="10"/>
        <v xml:space="preserve"> </v>
      </c>
      <c r="AH30" s="363">
        <f t="shared" si="11"/>
        <v>9</v>
      </c>
    </row>
    <row r="31" spans="1:39" ht="15" customHeight="1" x14ac:dyDescent="0.2">
      <c r="A31" s="1" t="s">
        <v>24</v>
      </c>
      <c r="B31" s="133">
        <v>11</v>
      </c>
      <c r="C31" s="133">
        <v>7</v>
      </c>
      <c r="D31" s="133">
        <v>10</v>
      </c>
      <c r="E31" s="133">
        <v>11</v>
      </c>
      <c r="F31" s="133">
        <v>12</v>
      </c>
      <c r="G31" s="133">
        <v>6</v>
      </c>
      <c r="H31" s="22">
        <v>9</v>
      </c>
      <c r="I31" s="22">
        <v>22</v>
      </c>
      <c r="J31" s="133">
        <v>16</v>
      </c>
      <c r="K31" s="133">
        <v>17</v>
      </c>
      <c r="L31" s="133">
        <v>4</v>
      </c>
      <c r="M31" s="133">
        <v>18</v>
      </c>
      <c r="N31" s="22">
        <v>14</v>
      </c>
      <c r="O31" s="386">
        <v>19</v>
      </c>
      <c r="P31" s="386">
        <v>14</v>
      </c>
      <c r="Q31" s="454">
        <v>14</v>
      </c>
      <c r="R31" s="454">
        <v>12</v>
      </c>
      <c r="S31" s="504">
        <f>7+1</f>
        <v>8</v>
      </c>
      <c r="T31" s="454">
        <v>9</v>
      </c>
      <c r="U31" s="397">
        <v>11</v>
      </c>
      <c r="V31" s="134">
        <v>8</v>
      </c>
      <c r="W31" s="134">
        <f>1+1</f>
        <v>2</v>
      </c>
      <c r="X31" s="22">
        <v>5</v>
      </c>
      <c r="Y31" s="22">
        <v>4</v>
      </c>
      <c r="Z31" s="134">
        <v>7</v>
      </c>
      <c r="AA31" s="134">
        <v>3</v>
      </c>
      <c r="AB31" s="134">
        <v>5</v>
      </c>
      <c r="AC31" s="134">
        <v>3</v>
      </c>
      <c r="AD31" s="135">
        <v>10</v>
      </c>
      <c r="AE31" s="343" t="str">
        <f t="shared" si="8"/>
        <v xml:space="preserve"> </v>
      </c>
      <c r="AF31" s="344" t="str">
        <f t="shared" si="9"/>
        <v xml:space="preserve"> </v>
      </c>
      <c r="AG31" s="345" t="str">
        <f t="shared" si="10"/>
        <v xml:space="preserve"> </v>
      </c>
      <c r="AH31" s="211">
        <f t="shared" si="11"/>
        <v>6</v>
      </c>
    </row>
    <row r="32" spans="1:39" ht="15" customHeight="1" x14ac:dyDescent="0.2">
      <c r="A32" s="1" t="s">
        <v>27</v>
      </c>
      <c r="B32" s="133">
        <v>22</v>
      </c>
      <c r="C32" s="133">
        <v>27</v>
      </c>
      <c r="D32" s="133">
        <v>27</v>
      </c>
      <c r="E32" s="133">
        <v>25</v>
      </c>
      <c r="F32" s="133">
        <v>25</v>
      </c>
      <c r="G32" s="133">
        <v>28</v>
      </c>
      <c r="H32" s="22">
        <v>33</v>
      </c>
      <c r="I32" s="22">
        <v>25</v>
      </c>
      <c r="J32" s="133">
        <v>25</v>
      </c>
      <c r="K32" s="133">
        <v>25</v>
      </c>
      <c r="L32" s="133">
        <v>31</v>
      </c>
      <c r="M32" s="133">
        <v>30</v>
      </c>
      <c r="N32" s="22">
        <v>33</v>
      </c>
      <c r="O32" s="386">
        <v>26</v>
      </c>
      <c r="P32" s="386">
        <v>32</v>
      </c>
      <c r="Q32" s="454">
        <v>28</v>
      </c>
      <c r="R32" s="454">
        <v>34</v>
      </c>
      <c r="S32" s="504">
        <f>34+1</f>
        <v>35</v>
      </c>
      <c r="T32" s="454">
        <v>37</v>
      </c>
      <c r="U32" s="397">
        <f>33+1</f>
        <v>34</v>
      </c>
      <c r="V32" s="134">
        <v>33</v>
      </c>
      <c r="W32" s="134">
        <f>20+1</f>
        <v>21</v>
      </c>
      <c r="X32" s="22">
        <v>23</v>
      </c>
      <c r="Y32" s="22">
        <v>38</v>
      </c>
      <c r="Z32" s="134">
        <v>34</v>
      </c>
      <c r="AA32" s="134">
        <v>32</v>
      </c>
      <c r="AB32" s="134">
        <v>37</v>
      </c>
      <c r="AC32" s="134">
        <v>17</v>
      </c>
      <c r="AD32" s="135">
        <v>26</v>
      </c>
      <c r="AE32" s="343">
        <f t="shared" si="8"/>
        <v>0.52941176470588236</v>
      </c>
      <c r="AF32" s="344">
        <f t="shared" si="9"/>
        <v>-0.31578947368421051</v>
      </c>
      <c r="AG32" s="345">
        <f t="shared" si="10"/>
        <v>-0.29729729729729731</v>
      </c>
      <c r="AH32" s="211">
        <f t="shared" si="11"/>
        <v>26.666666666666668</v>
      </c>
    </row>
    <row r="33" spans="1:168" ht="15" customHeight="1" x14ac:dyDescent="0.2">
      <c r="A33" s="13" t="s">
        <v>28</v>
      </c>
      <c r="B33" s="139">
        <v>67</v>
      </c>
      <c r="C33" s="139">
        <v>74</v>
      </c>
      <c r="D33" s="139">
        <v>67</v>
      </c>
      <c r="E33" s="139">
        <v>81</v>
      </c>
      <c r="F33" s="139">
        <v>67</v>
      </c>
      <c r="G33" s="139">
        <v>71</v>
      </c>
      <c r="H33" s="27">
        <v>85</v>
      </c>
      <c r="I33" s="27">
        <v>79</v>
      </c>
      <c r="J33" s="139">
        <v>58</v>
      </c>
      <c r="K33" s="139">
        <v>84</v>
      </c>
      <c r="L33" s="139">
        <v>78</v>
      </c>
      <c r="M33" s="139">
        <v>71</v>
      </c>
      <c r="N33" s="27">
        <v>91</v>
      </c>
      <c r="O33" s="387">
        <v>106</v>
      </c>
      <c r="P33" s="387">
        <v>99</v>
      </c>
      <c r="Q33" s="455">
        <v>117</v>
      </c>
      <c r="R33" s="455">
        <v>120</v>
      </c>
      <c r="S33" s="505">
        <f>119+1</f>
        <v>120</v>
      </c>
      <c r="T33" s="455">
        <v>165</v>
      </c>
      <c r="U33" s="398">
        <f>121+4</f>
        <v>125</v>
      </c>
      <c r="V33" s="140">
        <v>144</v>
      </c>
      <c r="W33" s="140">
        <f>135+5</f>
        <v>140</v>
      </c>
      <c r="X33" s="27">
        <v>137</v>
      </c>
      <c r="Y33" s="27">
        <v>118</v>
      </c>
      <c r="Z33" s="140">
        <v>138</v>
      </c>
      <c r="AA33" s="140">
        <v>113</v>
      </c>
      <c r="AB33" s="140">
        <v>155</v>
      </c>
      <c r="AC33" s="140">
        <v>143</v>
      </c>
      <c r="AD33" s="141">
        <v>126</v>
      </c>
      <c r="AE33" s="346">
        <f t="shared" si="8"/>
        <v>-0.11888111888111888</v>
      </c>
      <c r="AF33" s="347">
        <f t="shared" si="9"/>
        <v>6.7796610169491525E-2</v>
      </c>
      <c r="AG33" s="348">
        <f t="shared" si="10"/>
        <v>-0.23636363636363636</v>
      </c>
      <c r="AH33" s="364">
        <f t="shared" si="11"/>
        <v>141.33333333333334</v>
      </c>
    </row>
    <row r="34" spans="1:168" ht="15" customHeight="1" x14ac:dyDescent="0.2">
      <c r="A34" s="1" t="s">
        <v>31</v>
      </c>
      <c r="B34" s="133">
        <v>16</v>
      </c>
      <c r="C34" s="133">
        <v>16</v>
      </c>
      <c r="D34" s="133">
        <v>17</v>
      </c>
      <c r="E34" s="133">
        <v>16</v>
      </c>
      <c r="F34" s="133">
        <v>8</v>
      </c>
      <c r="G34" s="133">
        <v>16</v>
      </c>
      <c r="H34" s="22">
        <v>16</v>
      </c>
      <c r="I34" s="22">
        <v>12</v>
      </c>
      <c r="J34" s="133">
        <v>7</v>
      </c>
      <c r="K34" s="133">
        <v>5</v>
      </c>
      <c r="L34" s="133">
        <v>10</v>
      </c>
      <c r="M34" s="133">
        <v>7</v>
      </c>
      <c r="N34" s="22">
        <v>9</v>
      </c>
      <c r="O34" s="386">
        <v>11</v>
      </c>
      <c r="P34" s="386">
        <v>18</v>
      </c>
      <c r="Q34" s="454">
        <v>15</v>
      </c>
      <c r="R34" s="454">
        <v>21</v>
      </c>
      <c r="S34" s="504">
        <v>16</v>
      </c>
      <c r="T34" s="454">
        <v>12</v>
      </c>
      <c r="U34" s="397">
        <v>9</v>
      </c>
      <c r="V34" s="134">
        <v>20</v>
      </c>
      <c r="W34" s="134">
        <v>18</v>
      </c>
      <c r="X34" s="22">
        <v>13</v>
      </c>
      <c r="Y34" s="22">
        <v>17</v>
      </c>
      <c r="Z34" s="134">
        <v>14</v>
      </c>
      <c r="AA34" s="134">
        <v>11</v>
      </c>
      <c r="AB34" s="134">
        <v>23</v>
      </c>
      <c r="AC34" s="134">
        <v>11</v>
      </c>
      <c r="AD34" s="135">
        <v>15</v>
      </c>
      <c r="AE34" s="343" t="str">
        <f t="shared" si="8"/>
        <v xml:space="preserve"> </v>
      </c>
      <c r="AF34" s="344" t="str">
        <f t="shared" si="9"/>
        <v xml:space="preserve"> </v>
      </c>
      <c r="AG34" s="345" t="str">
        <f t="shared" si="10"/>
        <v xml:space="preserve"> </v>
      </c>
      <c r="AH34" s="211">
        <f t="shared" si="11"/>
        <v>16.333333333333332</v>
      </c>
    </row>
    <row r="35" spans="1:168" ht="15" customHeight="1" x14ac:dyDescent="0.2">
      <c r="A35" s="1" t="s">
        <v>32</v>
      </c>
      <c r="B35" s="133">
        <v>1</v>
      </c>
      <c r="C35" s="133">
        <v>0</v>
      </c>
      <c r="D35" s="133">
        <v>3</v>
      </c>
      <c r="E35" s="133">
        <v>5</v>
      </c>
      <c r="F35" s="133">
        <v>4</v>
      </c>
      <c r="G35" s="133">
        <v>6</v>
      </c>
      <c r="H35" s="22">
        <v>8</v>
      </c>
      <c r="I35" s="22">
        <v>12</v>
      </c>
      <c r="J35" s="133">
        <v>13</v>
      </c>
      <c r="K35" s="133">
        <v>8</v>
      </c>
      <c r="L35" s="133">
        <v>11</v>
      </c>
      <c r="M35" s="133">
        <v>16</v>
      </c>
      <c r="N35" s="22">
        <v>27</v>
      </c>
      <c r="O35" s="386">
        <v>17</v>
      </c>
      <c r="P35" s="386">
        <v>12</v>
      </c>
      <c r="Q35" s="454">
        <v>11</v>
      </c>
      <c r="R35" s="454">
        <v>6</v>
      </c>
      <c r="S35" s="504">
        <f>6+7</f>
        <v>13</v>
      </c>
      <c r="T35" s="454">
        <v>13</v>
      </c>
      <c r="U35" s="397">
        <f>9+2</f>
        <v>11</v>
      </c>
      <c r="V35" s="134">
        <v>11</v>
      </c>
      <c r="W35" s="134">
        <f>9+5</f>
        <v>14</v>
      </c>
      <c r="X35" s="22">
        <v>7</v>
      </c>
      <c r="Y35" s="22">
        <v>9</v>
      </c>
      <c r="Z35" s="134">
        <v>6</v>
      </c>
      <c r="AA35" s="134">
        <v>7</v>
      </c>
      <c r="AB35" s="134">
        <v>10</v>
      </c>
      <c r="AC35" s="134">
        <v>6</v>
      </c>
      <c r="AD35" s="135">
        <v>4</v>
      </c>
      <c r="AE35" s="343" t="str">
        <f t="shared" si="8"/>
        <v xml:space="preserve"> </v>
      </c>
      <c r="AF35" s="344" t="str">
        <f t="shared" si="9"/>
        <v xml:space="preserve"> </v>
      </c>
      <c r="AG35" s="345" t="str">
        <f t="shared" si="10"/>
        <v xml:space="preserve"> </v>
      </c>
      <c r="AH35" s="211">
        <f t="shared" si="11"/>
        <v>6.666666666666667</v>
      </c>
    </row>
    <row r="36" spans="1:168" ht="15" customHeight="1" x14ac:dyDescent="0.2">
      <c r="A36" s="1" t="s">
        <v>33</v>
      </c>
      <c r="B36" s="133"/>
      <c r="C36" s="133"/>
      <c r="D36" s="133"/>
      <c r="E36" s="133"/>
      <c r="F36" s="133"/>
      <c r="G36" s="133"/>
      <c r="H36" s="22"/>
      <c r="I36" s="22">
        <v>2</v>
      </c>
      <c r="J36" s="133">
        <v>6</v>
      </c>
      <c r="K36" s="133">
        <v>1</v>
      </c>
      <c r="L36" s="133">
        <v>5</v>
      </c>
      <c r="M36" s="133">
        <v>7</v>
      </c>
      <c r="N36" s="22">
        <v>5</v>
      </c>
      <c r="O36" s="386">
        <v>8</v>
      </c>
      <c r="P36" s="386">
        <v>9</v>
      </c>
      <c r="Q36" s="454">
        <v>4</v>
      </c>
      <c r="R36" s="454">
        <v>8</v>
      </c>
      <c r="S36" s="504">
        <v>6</v>
      </c>
      <c r="T36" s="454">
        <v>10</v>
      </c>
      <c r="U36" s="397">
        <v>12</v>
      </c>
      <c r="V36" s="134">
        <v>8</v>
      </c>
      <c r="W36" s="134">
        <v>5</v>
      </c>
      <c r="X36" s="22">
        <v>12</v>
      </c>
      <c r="Y36" s="22">
        <v>6</v>
      </c>
      <c r="Z36" s="134">
        <v>14</v>
      </c>
      <c r="AA36" s="134">
        <v>7</v>
      </c>
      <c r="AB36" s="134">
        <v>10</v>
      </c>
      <c r="AC36" s="134">
        <v>4</v>
      </c>
      <c r="AD36" s="135">
        <v>7</v>
      </c>
      <c r="AE36" s="343" t="str">
        <f t="shared" si="8"/>
        <v xml:space="preserve"> </v>
      </c>
      <c r="AF36" s="344" t="str">
        <f t="shared" si="9"/>
        <v xml:space="preserve"> </v>
      </c>
      <c r="AG36" s="345" t="str">
        <f t="shared" si="10"/>
        <v xml:space="preserve"> </v>
      </c>
      <c r="AH36" s="211">
        <f t="shared" si="11"/>
        <v>7</v>
      </c>
    </row>
    <row r="37" spans="1:168" ht="15" hidden="1" customHeight="1" x14ac:dyDescent="0.2">
      <c r="A37" s="1" t="s">
        <v>50</v>
      </c>
      <c r="B37" s="133">
        <v>7</v>
      </c>
      <c r="C37" s="133">
        <v>4</v>
      </c>
      <c r="D37" s="133"/>
      <c r="E37" s="133"/>
      <c r="F37" s="133"/>
      <c r="G37" s="133"/>
      <c r="H37" s="22"/>
      <c r="I37" s="22"/>
      <c r="J37" s="133"/>
      <c r="K37" s="133"/>
      <c r="L37" s="133"/>
      <c r="M37" s="133"/>
      <c r="N37" s="22"/>
      <c r="O37" s="386"/>
      <c r="P37" s="386"/>
      <c r="Q37" s="454"/>
      <c r="R37" s="454"/>
      <c r="S37" s="504"/>
      <c r="T37" s="454"/>
      <c r="U37" s="397"/>
      <c r="V37" s="134"/>
      <c r="W37" s="134"/>
      <c r="X37" s="22"/>
      <c r="Y37" s="22"/>
      <c r="Z37" s="135"/>
      <c r="AA37" s="135"/>
      <c r="AB37" s="135"/>
      <c r="AC37" s="135"/>
      <c r="AD37" s="135"/>
      <c r="AE37" s="147" t="str">
        <f t="shared" si="8"/>
        <v xml:space="preserve"> </v>
      </c>
      <c r="AF37" s="148" t="str">
        <f t="shared" si="9"/>
        <v xml:space="preserve"> </v>
      </c>
      <c r="AG37" s="150" t="str">
        <f t="shared" si="10"/>
        <v xml:space="preserve"> </v>
      </c>
      <c r="AH37" s="149" t="str">
        <f t="shared" si="11"/>
        <v xml:space="preserve">  </v>
      </c>
    </row>
    <row r="38" spans="1:168" s="42" customFormat="1" ht="15" customHeight="1" thickBot="1" x14ac:dyDescent="0.25">
      <c r="A38" s="180" t="s">
        <v>88</v>
      </c>
      <c r="B38" s="99">
        <f t="shared" ref="B38:X38" si="12">SUM(B18:B37)</f>
        <v>391</v>
      </c>
      <c r="C38" s="99">
        <f t="shared" si="12"/>
        <v>427</v>
      </c>
      <c r="D38" s="99">
        <f t="shared" si="12"/>
        <v>401</v>
      </c>
      <c r="E38" s="99">
        <f t="shared" si="12"/>
        <v>434</v>
      </c>
      <c r="F38" s="99">
        <f t="shared" si="12"/>
        <v>396</v>
      </c>
      <c r="G38" s="99">
        <f t="shared" si="12"/>
        <v>385</v>
      </c>
      <c r="H38" s="99">
        <f t="shared" si="12"/>
        <v>452</v>
      </c>
      <c r="I38" s="99">
        <f t="shared" si="12"/>
        <v>483</v>
      </c>
      <c r="J38" s="99">
        <f t="shared" si="12"/>
        <v>488</v>
      </c>
      <c r="K38" s="99">
        <f t="shared" si="12"/>
        <v>541</v>
      </c>
      <c r="L38" s="99">
        <f t="shared" si="12"/>
        <v>512</v>
      </c>
      <c r="M38" s="99">
        <f t="shared" si="12"/>
        <v>527</v>
      </c>
      <c r="N38" s="99">
        <f t="shared" si="12"/>
        <v>567</v>
      </c>
      <c r="O38" s="393">
        <f t="shared" si="12"/>
        <v>616</v>
      </c>
      <c r="P38" s="393">
        <f t="shared" si="12"/>
        <v>623</v>
      </c>
      <c r="Q38" s="462">
        <f t="shared" si="12"/>
        <v>662</v>
      </c>
      <c r="R38" s="462">
        <f>SUM(R18:R37)</f>
        <v>678</v>
      </c>
      <c r="S38" s="462">
        <f t="shared" si="12"/>
        <v>716</v>
      </c>
      <c r="T38" s="462">
        <f t="shared" si="12"/>
        <v>769</v>
      </c>
      <c r="U38" s="294">
        <f t="shared" si="12"/>
        <v>705</v>
      </c>
      <c r="V38" s="99">
        <f t="shared" si="12"/>
        <v>729</v>
      </c>
      <c r="W38" s="99">
        <f t="shared" si="12"/>
        <v>678</v>
      </c>
      <c r="X38" s="99">
        <f t="shared" si="12"/>
        <v>673</v>
      </c>
      <c r="Y38" s="99">
        <f t="shared" ref="Y38:AD38" si="13">SUM(Y18:Y37)</f>
        <v>657</v>
      </c>
      <c r="Z38" s="99">
        <f t="shared" si="13"/>
        <v>638</v>
      </c>
      <c r="AA38" s="99">
        <f t="shared" si="13"/>
        <v>664</v>
      </c>
      <c r="AB38" s="99">
        <f t="shared" si="13"/>
        <v>692</v>
      </c>
      <c r="AC38" s="99">
        <f t="shared" si="13"/>
        <v>575</v>
      </c>
      <c r="AD38" s="99">
        <f t="shared" si="13"/>
        <v>554</v>
      </c>
      <c r="AE38" s="181">
        <f t="shared" si="8"/>
        <v>-3.6521739130434785E-2</v>
      </c>
      <c r="AF38" s="182">
        <f t="shared" si="9"/>
        <v>-0.15677321156773211</v>
      </c>
      <c r="AG38" s="183">
        <f t="shared" si="10"/>
        <v>-0.27958387516254879</v>
      </c>
      <c r="AH38" s="99">
        <f t="shared" si="11"/>
        <v>607</v>
      </c>
      <c r="AI38" s="153"/>
      <c r="AJ38" s="155"/>
      <c r="AK38" s="155"/>
      <c r="AL38" s="155"/>
      <c r="AM38" s="155"/>
      <c r="AN38" s="155"/>
      <c r="AO38" s="155"/>
      <c r="AP38" s="155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</row>
    <row r="39" spans="1:168" ht="15" customHeight="1" thickTop="1" x14ac:dyDescent="0.2">
      <c r="A39" s="43" t="s">
        <v>89</v>
      </c>
      <c r="B39" s="44"/>
      <c r="C39" s="45"/>
      <c r="D39" s="4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47"/>
      <c r="Z39" s="47"/>
      <c r="AA39" s="47"/>
      <c r="AB39" s="47"/>
      <c r="AC39" s="47"/>
      <c r="AD39" s="47"/>
      <c r="AE39" s="47" t="str">
        <f t="shared" ref="AE39:AE52" si="14">IF(AD39=0," ",IF(AH39&gt;20,(AD39-AC39)/AC39," "))</f>
        <v xml:space="preserve"> </v>
      </c>
      <c r="AF39" s="48" t="str">
        <f t="shared" ref="AF39:AF52" si="15">IF(AD39=0," ",IF(AH39&gt;20,(AD39-Y39)/Y39," "))</f>
        <v xml:space="preserve"> </v>
      </c>
      <c r="AG39" s="310" t="str">
        <f t="shared" ref="AG39:AG52" si="16">IF(AD39=0," ",(IF(AH39&gt;20,(AD39-T39)/T39," ")))</f>
        <v xml:space="preserve"> </v>
      </c>
      <c r="AH39" s="49" t="str">
        <f t="shared" ref="AH39:AH52" si="17">IF(AB39&gt;0,AVERAGE(AB39:AD39),"  ")</f>
        <v xml:space="preserve">  </v>
      </c>
    </row>
    <row r="40" spans="1:168" ht="15" customHeight="1" x14ac:dyDescent="0.2">
      <c r="A40" s="191" t="s">
        <v>3</v>
      </c>
      <c r="B40" s="133">
        <v>78</v>
      </c>
      <c r="C40" s="133">
        <v>82</v>
      </c>
      <c r="D40" s="133">
        <v>104</v>
      </c>
      <c r="E40" s="133">
        <v>132</v>
      </c>
      <c r="F40" s="133">
        <v>106</v>
      </c>
      <c r="G40" s="133">
        <v>92</v>
      </c>
      <c r="H40" s="22">
        <v>92</v>
      </c>
      <c r="I40" s="22">
        <v>90</v>
      </c>
      <c r="J40" s="133">
        <v>104</v>
      </c>
      <c r="K40" s="133">
        <v>71</v>
      </c>
      <c r="L40" s="133">
        <v>82</v>
      </c>
      <c r="M40" s="133">
        <v>82</v>
      </c>
      <c r="N40" s="22">
        <v>91</v>
      </c>
      <c r="O40" s="385">
        <v>91</v>
      </c>
      <c r="P40" s="385">
        <v>85</v>
      </c>
      <c r="Q40" s="454">
        <v>93</v>
      </c>
      <c r="R40" s="460">
        <f>107+2</f>
        <v>109</v>
      </c>
      <c r="S40" s="504">
        <f>90+4</f>
        <v>94</v>
      </c>
      <c r="T40" s="454">
        <v>107</v>
      </c>
      <c r="U40" s="397">
        <v>110</v>
      </c>
      <c r="V40" s="134">
        <v>119</v>
      </c>
      <c r="W40" s="134">
        <v>119</v>
      </c>
      <c r="X40" s="22">
        <v>109</v>
      </c>
      <c r="Y40" s="22">
        <v>107</v>
      </c>
      <c r="Z40" s="134">
        <v>104</v>
      </c>
      <c r="AA40" s="134">
        <v>102</v>
      </c>
      <c r="AB40" s="134">
        <v>91</v>
      </c>
      <c r="AC40" s="134">
        <v>88</v>
      </c>
      <c r="AD40" s="135">
        <v>64</v>
      </c>
      <c r="AE40" s="343">
        <f t="shared" si="14"/>
        <v>-0.27272727272727271</v>
      </c>
      <c r="AF40" s="344">
        <f t="shared" si="15"/>
        <v>-0.40186915887850466</v>
      </c>
      <c r="AG40" s="345">
        <f t="shared" si="16"/>
        <v>-0.40186915887850466</v>
      </c>
      <c r="AH40" s="211">
        <f t="shared" si="17"/>
        <v>81</v>
      </c>
    </row>
    <row r="41" spans="1:168" ht="15" customHeight="1" x14ac:dyDescent="0.2">
      <c r="A41" s="191" t="s">
        <v>5</v>
      </c>
      <c r="B41" s="133">
        <v>11</v>
      </c>
      <c r="C41" s="133">
        <v>4</v>
      </c>
      <c r="D41" s="133">
        <v>9</v>
      </c>
      <c r="E41" s="133">
        <v>10</v>
      </c>
      <c r="F41" s="133">
        <v>11</v>
      </c>
      <c r="G41" s="133">
        <v>6</v>
      </c>
      <c r="H41" s="22">
        <v>13</v>
      </c>
      <c r="I41" s="22">
        <v>12</v>
      </c>
      <c r="J41" s="133">
        <v>10</v>
      </c>
      <c r="K41" s="133">
        <v>7</v>
      </c>
      <c r="L41" s="133">
        <v>12</v>
      </c>
      <c r="M41" s="133">
        <v>8</v>
      </c>
      <c r="N41" s="22">
        <v>9</v>
      </c>
      <c r="O41" s="386">
        <v>12</v>
      </c>
      <c r="P41" s="386">
        <v>10</v>
      </c>
      <c r="Q41" s="454">
        <v>11</v>
      </c>
      <c r="R41" s="454">
        <v>7</v>
      </c>
      <c r="S41" s="504">
        <v>13</v>
      </c>
      <c r="T41" s="454">
        <v>10</v>
      </c>
      <c r="U41" s="397">
        <v>14</v>
      </c>
      <c r="V41" s="134">
        <v>15</v>
      </c>
      <c r="W41" s="134">
        <v>20</v>
      </c>
      <c r="X41" s="22">
        <v>14</v>
      </c>
      <c r="Y41" s="22">
        <v>15</v>
      </c>
      <c r="Z41" s="134">
        <v>20</v>
      </c>
      <c r="AA41" s="134">
        <v>24</v>
      </c>
      <c r="AB41" s="134">
        <v>14</v>
      </c>
      <c r="AC41" s="134">
        <v>17</v>
      </c>
      <c r="AD41" s="135">
        <v>13</v>
      </c>
      <c r="AE41" s="343" t="str">
        <f t="shared" si="14"/>
        <v xml:space="preserve"> </v>
      </c>
      <c r="AF41" s="344" t="str">
        <f t="shared" si="15"/>
        <v xml:space="preserve"> </v>
      </c>
      <c r="AG41" s="345" t="str">
        <f t="shared" si="16"/>
        <v xml:space="preserve"> </v>
      </c>
      <c r="AH41" s="211">
        <f t="shared" si="17"/>
        <v>14.666666666666666</v>
      </c>
    </row>
    <row r="42" spans="1:168" ht="15" customHeight="1" x14ac:dyDescent="0.2">
      <c r="A42" s="191" t="s">
        <v>6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22">
        <v>1</v>
      </c>
      <c r="I42" s="22">
        <v>11</v>
      </c>
      <c r="J42" s="133">
        <v>6</v>
      </c>
      <c r="K42" s="133">
        <v>15</v>
      </c>
      <c r="L42" s="133">
        <v>15</v>
      </c>
      <c r="M42" s="133">
        <v>18</v>
      </c>
      <c r="N42" s="22">
        <v>10</v>
      </c>
      <c r="O42" s="386">
        <v>6</v>
      </c>
      <c r="P42" s="386">
        <v>16</v>
      </c>
      <c r="Q42" s="454">
        <v>9</v>
      </c>
      <c r="R42" s="454">
        <f>17+1</f>
        <v>18</v>
      </c>
      <c r="S42" s="504">
        <v>17</v>
      </c>
      <c r="T42" s="454">
        <v>11</v>
      </c>
      <c r="U42" s="397">
        <v>15</v>
      </c>
      <c r="V42" s="134">
        <v>26</v>
      </c>
      <c r="W42" s="134">
        <v>25</v>
      </c>
      <c r="X42" s="22">
        <v>31</v>
      </c>
      <c r="Y42" s="22">
        <v>36</v>
      </c>
      <c r="Z42" s="134">
        <v>36</v>
      </c>
      <c r="AA42" s="134">
        <v>39</v>
      </c>
      <c r="AB42" s="134">
        <v>26</v>
      </c>
      <c r="AC42" s="134">
        <v>29</v>
      </c>
      <c r="AD42" s="135">
        <v>31</v>
      </c>
      <c r="AE42" s="343">
        <f t="shared" si="14"/>
        <v>6.8965517241379309E-2</v>
      </c>
      <c r="AF42" s="344">
        <f t="shared" si="15"/>
        <v>-0.1388888888888889</v>
      </c>
      <c r="AG42" s="345">
        <f t="shared" si="16"/>
        <v>1.8181818181818181</v>
      </c>
      <c r="AH42" s="211">
        <f t="shared" si="17"/>
        <v>28.666666666666668</v>
      </c>
    </row>
    <row r="43" spans="1:168" ht="15" customHeight="1" x14ac:dyDescent="0.2">
      <c r="A43" s="191" t="s">
        <v>159</v>
      </c>
      <c r="B43" s="133"/>
      <c r="C43" s="133"/>
      <c r="D43" s="133"/>
      <c r="E43" s="133"/>
      <c r="F43" s="133"/>
      <c r="G43" s="133"/>
      <c r="H43" s="22"/>
      <c r="I43" s="22"/>
      <c r="J43" s="133"/>
      <c r="K43" s="133"/>
      <c r="L43" s="133"/>
      <c r="M43" s="133"/>
      <c r="N43" s="22"/>
      <c r="O43" s="386"/>
      <c r="P43" s="386"/>
      <c r="Q43" s="454"/>
      <c r="R43" s="454"/>
      <c r="S43" s="504"/>
      <c r="T43" s="454">
        <v>0</v>
      </c>
      <c r="U43" s="397"/>
      <c r="V43" s="134"/>
      <c r="W43" s="134"/>
      <c r="X43" s="22"/>
      <c r="Y43" s="22">
        <v>0</v>
      </c>
      <c r="Z43" s="134">
        <v>0</v>
      </c>
      <c r="AA43" s="134">
        <v>0</v>
      </c>
      <c r="AB43" s="134">
        <v>0</v>
      </c>
      <c r="AC43" s="134">
        <v>0</v>
      </c>
      <c r="AD43" s="135">
        <v>4</v>
      </c>
      <c r="AE43" s="346"/>
      <c r="AF43" s="347"/>
      <c r="AG43" s="348"/>
      <c r="AH43" s="364" t="str">
        <f t="shared" si="17"/>
        <v xml:space="preserve">  </v>
      </c>
    </row>
    <row r="44" spans="1:168" ht="15" customHeight="1" x14ac:dyDescent="0.2">
      <c r="A44" s="192" t="s">
        <v>66</v>
      </c>
      <c r="B44" s="176"/>
      <c r="C44" s="176"/>
      <c r="D44" s="176"/>
      <c r="E44" s="176"/>
      <c r="F44" s="176"/>
      <c r="G44" s="176">
        <v>0</v>
      </c>
      <c r="H44" s="177"/>
      <c r="I44" s="177"/>
      <c r="J44" s="176"/>
      <c r="K44" s="176"/>
      <c r="L44" s="176"/>
      <c r="M44" s="176">
        <v>0</v>
      </c>
      <c r="N44" s="177">
        <v>0</v>
      </c>
      <c r="O44" s="392">
        <v>0</v>
      </c>
      <c r="P44" s="392">
        <v>0</v>
      </c>
      <c r="Q44" s="461">
        <v>1</v>
      </c>
      <c r="R44" s="461">
        <v>1</v>
      </c>
      <c r="S44" s="508">
        <v>2</v>
      </c>
      <c r="T44" s="461">
        <v>10</v>
      </c>
      <c r="U44" s="402">
        <f>4+2</f>
        <v>6</v>
      </c>
      <c r="V44" s="152">
        <v>19</v>
      </c>
      <c r="W44" s="152">
        <f>4+2</f>
        <v>6</v>
      </c>
      <c r="X44" s="177">
        <v>7</v>
      </c>
      <c r="Y44" s="177">
        <v>11</v>
      </c>
      <c r="Z44" s="152">
        <v>9</v>
      </c>
      <c r="AA44" s="152">
        <v>17</v>
      </c>
      <c r="AB44" s="152">
        <v>10</v>
      </c>
      <c r="AC44" s="152">
        <v>16</v>
      </c>
      <c r="AD44" s="178">
        <v>6</v>
      </c>
      <c r="AE44" s="343" t="str">
        <f t="shared" si="14"/>
        <v xml:space="preserve"> </v>
      </c>
      <c r="AF44" s="344" t="str">
        <f t="shared" si="15"/>
        <v xml:space="preserve"> </v>
      </c>
      <c r="AG44" s="345" t="str">
        <f t="shared" si="16"/>
        <v xml:space="preserve"> </v>
      </c>
      <c r="AH44" s="211">
        <f t="shared" si="17"/>
        <v>10.666666666666666</v>
      </c>
    </row>
    <row r="45" spans="1:168" ht="15" customHeight="1" x14ac:dyDescent="0.2">
      <c r="A45" s="191" t="s">
        <v>122</v>
      </c>
      <c r="B45" s="133">
        <v>6</v>
      </c>
      <c r="C45" s="133">
        <v>8</v>
      </c>
      <c r="D45" s="133">
        <v>12</v>
      </c>
      <c r="E45" s="133">
        <v>21</v>
      </c>
      <c r="F45" s="133">
        <v>15</v>
      </c>
      <c r="G45" s="133">
        <v>6</v>
      </c>
      <c r="H45" s="22">
        <v>13</v>
      </c>
      <c r="I45" s="22">
        <v>12</v>
      </c>
      <c r="J45" s="133">
        <v>10</v>
      </c>
      <c r="K45" s="133">
        <v>8</v>
      </c>
      <c r="L45" s="133">
        <v>10</v>
      </c>
      <c r="M45" s="133">
        <v>7</v>
      </c>
      <c r="N45" s="22">
        <v>4</v>
      </c>
      <c r="O45" s="386">
        <v>8</v>
      </c>
      <c r="P45" s="386">
        <v>5</v>
      </c>
      <c r="Q45" s="454">
        <v>2</v>
      </c>
      <c r="R45" s="454">
        <v>2</v>
      </c>
      <c r="S45" s="504">
        <v>0</v>
      </c>
      <c r="T45" s="454">
        <v>1</v>
      </c>
      <c r="U45" s="397">
        <v>0</v>
      </c>
      <c r="V45" s="134">
        <v>0</v>
      </c>
      <c r="W45" s="134">
        <v>1</v>
      </c>
      <c r="X45" s="22">
        <v>0</v>
      </c>
      <c r="Y45" s="22">
        <v>0</v>
      </c>
      <c r="Z45" s="134">
        <v>0</v>
      </c>
      <c r="AA45" s="134">
        <v>0</v>
      </c>
      <c r="AB45" s="134">
        <v>0</v>
      </c>
      <c r="AC45" s="134">
        <v>0</v>
      </c>
      <c r="AD45" s="135">
        <v>0</v>
      </c>
      <c r="AE45" s="343" t="str">
        <f t="shared" si="14"/>
        <v xml:space="preserve"> </v>
      </c>
      <c r="AF45" s="344" t="str">
        <f t="shared" si="15"/>
        <v xml:space="preserve"> </v>
      </c>
      <c r="AG45" s="345" t="str">
        <f t="shared" si="16"/>
        <v xml:space="preserve"> </v>
      </c>
      <c r="AH45" s="211" t="str">
        <f t="shared" si="17"/>
        <v xml:space="preserve">  </v>
      </c>
    </row>
    <row r="46" spans="1:168" ht="15" customHeight="1" x14ac:dyDescent="0.2">
      <c r="A46" s="423" t="s">
        <v>15</v>
      </c>
      <c r="B46" s="139">
        <v>14</v>
      </c>
      <c r="C46" s="139">
        <v>31</v>
      </c>
      <c r="D46" s="139">
        <v>26</v>
      </c>
      <c r="E46" s="139">
        <v>22</v>
      </c>
      <c r="F46" s="139">
        <v>22</v>
      </c>
      <c r="G46" s="139">
        <v>22</v>
      </c>
      <c r="H46" s="27">
        <v>17</v>
      </c>
      <c r="I46" s="27">
        <v>22</v>
      </c>
      <c r="J46" s="139">
        <v>28</v>
      </c>
      <c r="K46" s="139">
        <v>13</v>
      </c>
      <c r="L46" s="139">
        <v>32</v>
      </c>
      <c r="M46" s="139">
        <v>20</v>
      </c>
      <c r="N46" s="27">
        <v>20</v>
      </c>
      <c r="O46" s="387">
        <v>34</v>
      </c>
      <c r="P46" s="387">
        <v>35</v>
      </c>
      <c r="Q46" s="455">
        <v>37</v>
      </c>
      <c r="R46" s="455">
        <f>28+1</f>
        <v>29</v>
      </c>
      <c r="S46" s="505">
        <f>31+1</f>
        <v>32</v>
      </c>
      <c r="T46" s="455">
        <v>30</v>
      </c>
      <c r="U46" s="398">
        <v>28</v>
      </c>
      <c r="V46" s="140">
        <v>38</v>
      </c>
      <c r="W46" s="140">
        <v>23</v>
      </c>
      <c r="X46" s="27">
        <v>35</v>
      </c>
      <c r="Y46" s="27">
        <v>31</v>
      </c>
      <c r="Z46" s="140">
        <v>30</v>
      </c>
      <c r="AA46" s="140">
        <v>25</v>
      </c>
      <c r="AB46" s="140">
        <v>23</v>
      </c>
      <c r="AC46" s="140">
        <v>15</v>
      </c>
      <c r="AD46" s="141">
        <v>15</v>
      </c>
      <c r="AE46" s="346" t="str">
        <f t="shared" si="14"/>
        <v xml:space="preserve"> </v>
      </c>
      <c r="AF46" s="347" t="str">
        <f t="shared" si="15"/>
        <v xml:space="preserve"> </v>
      </c>
      <c r="AG46" s="348" t="str">
        <f t="shared" si="16"/>
        <v xml:space="preserve"> </v>
      </c>
      <c r="AH46" s="364">
        <f t="shared" si="17"/>
        <v>17.666666666666668</v>
      </c>
    </row>
    <row r="47" spans="1:168" ht="15" customHeight="1" x14ac:dyDescent="0.2">
      <c r="A47" s="191" t="s">
        <v>137</v>
      </c>
      <c r="B47" s="133"/>
      <c r="C47" s="133"/>
      <c r="D47" s="133"/>
      <c r="E47" s="133"/>
      <c r="F47" s="133"/>
      <c r="G47" s="133"/>
      <c r="H47" s="22"/>
      <c r="I47" s="22"/>
      <c r="J47" s="133"/>
      <c r="K47" s="133"/>
      <c r="L47" s="133"/>
      <c r="M47" s="133"/>
      <c r="N47" s="22"/>
      <c r="O47" s="386"/>
      <c r="P47" s="386"/>
      <c r="Q47" s="454"/>
      <c r="R47" s="454">
        <v>0</v>
      </c>
      <c r="S47" s="504"/>
      <c r="T47" s="454">
        <v>0</v>
      </c>
      <c r="U47" s="397"/>
      <c r="V47" s="134"/>
      <c r="W47" s="134">
        <v>0</v>
      </c>
      <c r="X47" s="22">
        <v>0</v>
      </c>
      <c r="Y47" s="22">
        <v>0</v>
      </c>
      <c r="Z47" s="134">
        <v>0</v>
      </c>
      <c r="AA47" s="134">
        <v>0</v>
      </c>
      <c r="AB47" s="134">
        <v>1</v>
      </c>
      <c r="AC47" s="134">
        <v>1</v>
      </c>
      <c r="AD47" s="135">
        <v>8</v>
      </c>
      <c r="AE47" s="343" t="str">
        <f t="shared" si="14"/>
        <v xml:space="preserve"> </v>
      </c>
      <c r="AF47" s="344" t="str">
        <f t="shared" si="15"/>
        <v xml:space="preserve"> </v>
      </c>
      <c r="AG47" s="345" t="str">
        <f t="shared" si="16"/>
        <v xml:space="preserve"> </v>
      </c>
      <c r="AH47" s="211">
        <f t="shared" si="17"/>
        <v>3.3333333333333335</v>
      </c>
    </row>
    <row r="48" spans="1:168" ht="15" customHeight="1" x14ac:dyDescent="0.2">
      <c r="A48" s="193" t="s">
        <v>22</v>
      </c>
      <c r="B48" s="133">
        <v>21</v>
      </c>
      <c r="C48" s="133">
        <v>21</v>
      </c>
      <c r="D48" s="133">
        <v>24</v>
      </c>
      <c r="E48" s="133">
        <v>22</v>
      </c>
      <c r="F48" s="133">
        <v>21</v>
      </c>
      <c r="G48" s="133">
        <v>16</v>
      </c>
      <c r="H48" s="22">
        <v>27</v>
      </c>
      <c r="I48" s="22">
        <v>12</v>
      </c>
      <c r="J48" s="133">
        <v>22</v>
      </c>
      <c r="K48" s="133">
        <v>24</v>
      </c>
      <c r="L48" s="133">
        <v>22</v>
      </c>
      <c r="M48" s="133">
        <v>22</v>
      </c>
      <c r="N48" s="22">
        <v>24</v>
      </c>
      <c r="O48" s="386">
        <v>28</v>
      </c>
      <c r="P48" s="386">
        <v>14</v>
      </c>
      <c r="Q48" s="454">
        <v>19</v>
      </c>
      <c r="R48" s="454">
        <f>23+4</f>
        <v>27</v>
      </c>
      <c r="S48" s="504">
        <f>24+2</f>
        <v>26</v>
      </c>
      <c r="T48" s="454">
        <v>26</v>
      </c>
      <c r="U48" s="397">
        <f>30+1</f>
        <v>31</v>
      </c>
      <c r="V48" s="134">
        <v>33</v>
      </c>
      <c r="W48" s="134">
        <f>32+1</f>
        <v>33</v>
      </c>
      <c r="X48" s="22">
        <v>31</v>
      </c>
      <c r="Y48" s="22">
        <v>26</v>
      </c>
      <c r="Z48" s="134">
        <v>27</v>
      </c>
      <c r="AA48" s="134">
        <v>21</v>
      </c>
      <c r="AB48" s="134">
        <v>36</v>
      </c>
      <c r="AC48" s="134">
        <v>21</v>
      </c>
      <c r="AD48" s="135">
        <v>21</v>
      </c>
      <c r="AE48" s="343">
        <f t="shared" si="14"/>
        <v>0</v>
      </c>
      <c r="AF48" s="344">
        <f t="shared" si="15"/>
        <v>-0.19230769230769232</v>
      </c>
      <c r="AG48" s="345">
        <f t="shared" si="16"/>
        <v>-0.19230769230769232</v>
      </c>
      <c r="AH48" s="211">
        <f t="shared" si="17"/>
        <v>26</v>
      </c>
    </row>
    <row r="49" spans="1:168" ht="15" customHeight="1" x14ac:dyDescent="0.2">
      <c r="A49" s="193" t="s">
        <v>26</v>
      </c>
      <c r="B49" s="133">
        <v>1</v>
      </c>
      <c r="C49" s="133">
        <v>5</v>
      </c>
      <c r="D49" s="133">
        <v>8</v>
      </c>
      <c r="E49" s="133">
        <v>5</v>
      </c>
      <c r="F49" s="133">
        <v>4</v>
      </c>
      <c r="G49" s="133">
        <v>9</v>
      </c>
      <c r="H49" s="22">
        <v>5</v>
      </c>
      <c r="I49" s="22">
        <v>8</v>
      </c>
      <c r="J49" s="133">
        <v>13</v>
      </c>
      <c r="K49" s="133">
        <v>8</v>
      </c>
      <c r="L49" s="133">
        <v>4</v>
      </c>
      <c r="M49" s="133">
        <v>12</v>
      </c>
      <c r="N49" s="22">
        <v>8</v>
      </c>
      <c r="O49" s="386">
        <v>13</v>
      </c>
      <c r="P49" s="386">
        <v>6</v>
      </c>
      <c r="Q49" s="454">
        <v>8</v>
      </c>
      <c r="R49" s="454">
        <v>7</v>
      </c>
      <c r="S49" s="504">
        <v>5</v>
      </c>
      <c r="T49" s="454">
        <v>11</v>
      </c>
      <c r="U49" s="397">
        <v>9</v>
      </c>
      <c r="V49" s="134">
        <v>12</v>
      </c>
      <c r="W49" s="134">
        <v>21</v>
      </c>
      <c r="X49" s="22">
        <v>18</v>
      </c>
      <c r="Y49" s="22">
        <v>30</v>
      </c>
      <c r="Z49" s="134">
        <v>12</v>
      </c>
      <c r="AA49" s="134">
        <v>20</v>
      </c>
      <c r="AB49" s="134">
        <v>14</v>
      </c>
      <c r="AC49" s="134">
        <v>9</v>
      </c>
      <c r="AD49" s="135">
        <v>8</v>
      </c>
      <c r="AE49" s="343" t="str">
        <f t="shared" si="14"/>
        <v xml:space="preserve"> </v>
      </c>
      <c r="AF49" s="344" t="str">
        <f t="shared" si="15"/>
        <v xml:space="preserve"> </v>
      </c>
      <c r="AG49" s="345" t="str">
        <f t="shared" si="16"/>
        <v xml:space="preserve"> </v>
      </c>
      <c r="AH49" s="211">
        <f t="shared" si="17"/>
        <v>10.333333333333334</v>
      </c>
    </row>
    <row r="50" spans="1:168" ht="15" hidden="1" customHeight="1" x14ac:dyDescent="0.2">
      <c r="A50" s="194" t="s">
        <v>49</v>
      </c>
      <c r="B50" s="186">
        <v>8</v>
      </c>
      <c r="C50" s="186">
        <v>2</v>
      </c>
      <c r="D50" s="186"/>
      <c r="E50" s="186">
        <v>2</v>
      </c>
      <c r="F50" s="186">
        <v>0</v>
      </c>
      <c r="G50" s="186">
        <v>0</v>
      </c>
      <c r="H50" s="158">
        <v>0</v>
      </c>
      <c r="I50" s="158">
        <v>0</v>
      </c>
      <c r="J50" s="186">
        <v>0</v>
      </c>
      <c r="K50" s="186">
        <v>0</v>
      </c>
      <c r="L50" s="186">
        <v>0</v>
      </c>
      <c r="M50" s="186">
        <v>0</v>
      </c>
      <c r="N50" s="158">
        <v>0</v>
      </c>
      <c r="O50" s="394"/>
      <c r="P50" s="394"/>
      <c r="Q50" s="463"/>
      <c r="R50" s="463"/>
      <c r="S50" s="509"/>
      <c r="T50" s="463"/>
      <c r="U50" s="403"/>
      <c r="V50" s="145"/>
      <c r="W50" s="145"/>
      <c r="X50" s="158"/>
      <c r="Y50" s="158"/>
      <c r="Z50" s="145"/>
      <c r="AA50" s="145"/>
      <c r="AB50" s="145"/>
      <c r="AC50" s="145"/>
      <c r="AD50" s="144"/>
      <c r="AE50" s="343" t="str">
        <f t="shared" si="14"/>
        <v xml:space="preserve"> </v>
      </c>
      <c r="AF50" s="344" t="str">
        <f t="shared" si="15"/>
        <v xml:space="preserve"> </v>
      </c>
      <c r="AG50" s="345" t="str">
        <f t="shared" si="16"/>
        <v xml:space="preserve"> </v>
      </c>
      <c r="AH50" s="211" t="str">
        <f t="shared" si="17"/>
        <v xml:space="preserve">  </v>
      </c>
    </row>
    <row r="51" spans="1:168" ht="15" customHeight="1" x14ac:dyDescent="0.2">
      <c r="A51" s="194" t="s">
        <v>132</v>
      </c>
      <c r="B51" s="186"/>
      <c r="C51" s="186"/>
      <c r="D51" s="186"/>
      <c r="E51" s="186"/>
      <c r="F51" s="186"/>
      <c r="G51" s="186"/>
      <c r="H51" s="158"/>
      <c r="I51" s="158"/>
      <c r="J51" s="186"/>
      <c r="K51" s="186"/>
      <c r="L51" s="186"/>
      <c r="M51" s="186"/>
      <c r="N51" s="158"/>
      <c r="O51" s="394"/>
      <c r="P51" s="394">
        <v>0</v>
      </c>
      <c r="Q51" s="463"/>
      <c r="R51" s="463">
        <v>0</v>
      </c>
      <c r="S51" s="509"/>
      <c r="T51" s="463">
        <v>0</v>
      </c>
      <c r="U51" s="403">
        <v>0</v>
      </c>
      <c r="V51" s="145">
        <v>0</v>
      </c>
      <c r="W51" s="145">
        <v>0</v>
      </c>
      <c r="X51" s="158">
        <v>0</v>
      </c>
      <c r="Y51" s="158">
        <v>0</v>
      </c>
      <c r="Z51" s="145">
        <v>1</v>
      </c>
      <c r="AA51" s="145">
        <v>6</v>
      </c>
      <c r="AB51" s="145">
        <v>1</v>
      </c>
      <c r="AC51" s="145">
        <v>6</v>
      </c>
      <c r="AD51" s="144">
        <v>5</v>
      </c>
      <c r="AE51" s="343" t="str">
        <f t="shared" si="14"/>
        <v xml:space="preserve"> </v>
      </c>
      <c r="AF51" s="344" t="str">
        <f t="shared" si="15"/>
        <v xml:space="preserve"> </v>
      </c>
      <c r="AG51" s="345" t="str">
        <f t="shared" si="16"/>
        <v xml:space="preserve"> </v>
      </c>
      <c r="AH51" s="211">
        <f t="shared" si="17"/>
        <v>4</v>
      </c>
    </row>
    <row r="52" spans="1:168" s="42" customFormat="1" ht="15" customHeight="1" thickBot="1" x14ac:dyDescent="0.25">
      <c r="A52" s="50" t="s">
        <v>90</v>
      </c>
      <c r="B52" s="188">
        <f t="shared" ref="B52" si="18">SUM(B39:B50)</f>
        <v>139</v>
      </c>
      <c r="C52" s="188">
        <f t="shared" ref="C52:O52" si="19">SUM(C40:C50)</f>
        <v>153</v>
      </c>
      <c r="D52" s="188">
        <f t="shared" si="19"/>
        <v>183</v>
      </c>
      <c r="E52" s="188">
        <f t="shared" si="19"/>
        <v>214</v>
      </c>
      <c r="F52" s="188">
        <f t="shared" si="19"/>
        <v>179</v>
      </c>
      <c r="G52" s="188">
        <f t="shared" si="19"/>
        <v>151</v>
      </c>
      <c r="H52" s="188">
        <f t="shared" si="19"/>
        <v>168</v>
      </c>
      <c r="I52" s="188">
        <f t="shared" si="19"/>
        <v>167</v>
      </c>
      <c r="J52" s="188">
        <f t="shared" si="19"/>
        <v>193</v>
      </c>
      <c r="K52" s="188">
        <f t="shared" si="19"/>
        <v>146</v>
      </c>
      <c r="L52" s="188">
        <f t="shared" si="19"/>
        <v>177</v>
      </c>
      <c r="M52" s="188">
        <f t="shared" si="19"/>
        <v>169</v>
      </c>
      <c r="N52" s="188">
        <f t="shared" si="19"/>
        <v>166</v>
      </c>
      <c r="O52" s="395">
        <f t="shared" si="19"/>
        <v>192</v>
      </c>
      <c r="P52" s="416">
        <f t="shared" ref="P52" si="20">SUM(P40:P51)</f>
        <v>171</v>
      </c>
      <c r="Q52" s="464">
        <f t="shared" ref="Q52" si="21">SUM(Q40:Q51)</f>
        <v>180</v>
      </c>
      <c r="R52" s="464">
        <f>SUM(R40:R51)</f>
        <v>200</v>
      </c>
      <c r="S52" s="464">
        <f>SUM(S40:S51)</f>
        <v>189</v>
      </c>
      <c r="T52" s="464">
        <f>SUM(T40:T51)</f>
        <v>206</v>
      </c>
      <c r="U52" s="289">
        <f>SUM(U40:U51)</f>
        <v>213</v>
      </c>
      <c r="V52" s="188">
        <f t="shared" ref="V52:X52" si="22">SUM(V40:V51)</f>
        <v>262</v>
      </c>
      <c r="W52" s="188">
        <f>SUM(W40:W51)</f>
        <v>248</v>
      </c>
      <c r="X52" s="188">
        <f t="shared" si="22"/>
        <v>245</v>
      </c>
      <c r="Y52" s="188">
        <f t="shared" ref="Y52:AD52" si="23">SUM(Y40:Y51)</f>
        <v>256</v>
      </c>
      <c r="Z52" s="188">
        <f t="shared" si="23"/>
        <v>239</v>
      </c>
      <c r="AA52" s="188">
        <f t="shared" si="23"/>
        <v>254</v>
      </c>
      <c r="AB52" s="188">
        <f t="shared" si="23"/>
        <v>216</v>
      </c>
      <c r="AC52" s="188">
        <f t="shared" si="23"/>
        <v>202</v>
      </c>
      <c r="AD52" s="188">
        <f t="shared" si="23"/>
        <v>175</v>
      </c>
      <c r="AE52" s="311">
        <f t="shared" si="14"/>
        <v>-0.13366336633663367</v>
      </c>
      <c r="AF52" s="189">
        <f t="shared" si="15"/>
        <v>-0.31640625</v>
      </c>
      <c r="AG52" s="190">
        <f t="shared" si="16"/>
        <v>-0.15048543689320387</v>
      </c>
      <c r="AH52" s="312">
        <f t="shared" si="17"/>
        <v>197.66666666666666</v>
      </c>
      <c r="AI52" s="153"/>
      <c r="AJ52" s="155"/>
      <c r="AK52" s="155"/>
      <c r="AL52" s="155"/>
      <c r="AM52" s="155"/>
      <c r="AN52" s="155"/>
      <c r="AO52" s="155"/>
      <c r="AP52" s="155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</row>
    <row r="53" spans="1:168" s="42" customFormat="1" ht="15" customHeight="1" thickTop="1" x14ac:dyDescent="0.2">
      <c r="A53" s="52" t="s">
        <v>91</v>
      </c>
      <c r="B53" s="53"/>
      <c r="C53" s="54"/>
      <c r="D53" s="54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56"/>
      <c r="Z53" s="56"/>
      <c r="AA53" s="56"/>
      <c r="AB53" s="56"/>
      <c r="AC53" s="56"/>
      <c r="AD53" s="56"/>
      <c r="AE53" s="56"/>
      <c r="AF53" s="57"/>
      <c r="AG53" s="57"/>
      <c r="AH53" s="330"/>
      <c r="AI53" s="153"/>
      <c r="AJ53" s="155"/>
      <c r="AK53" s="155"/>
      <c r="AL53" s="155"/>
      <c r="AM53" s="155"/>
      <c r="AN53" s="155"/>
      <c r="AO53" s="155"/>
      <c r="AP53" s="155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</row>
    <row r="54" spans="1:168" ht="15" customHeight="1" x14ac:dyDescent="0.2">
      <c r="A54" s="17" t="s">
        <v>1</v>
      </c>
      <c r="B54" s="133">
        <v>62</v>
      </c>
      <c r="C54" s="133">
        <v>49</v>
      </c>
      <c r="D54" s="133">
        <v>55</v>
      </c>
      <c r="E54" s="133">
        <v>60</v>
      </c>
      <c r="F54" s="133">
        <v>42</v>
      </c>
      <c r="G54" s="133">
        <v>26</v>
      </c>
      <c r="H54" s="22">
        <v>46</v>
      </c>
      <c r="I54" s="22">
        <v>30</v>
      </c>
      <c r="J54" s="133">
        <v>25</v>
      </c>
      <c r="K54" s="133">
        <v>32</v>
      </c>
      <c r="L54" s="133">
        <v>34</v>
      </c>
      <c r="M54" s="133">
        <v>40</v>
      </c>
      <c r="N54" s="22">
        <v>38</v>
      </c>
      <c r="O54" s="385">
        <v>30</v>
      </c>
      <c r="P54" s="385">
        <v>61</v>
      </c>
      <c r="Q54" s="454">
        <v>60</v>
      </c>
      <c r="R54" s="460">
        <v>53</v>
      </c>
      <c r="S54" s="504">
        <f>46+1</f>
        <v>47</v>
      </c>
      <c r="T54" s="454">
        <v>44</v>
      </c>
      <c r="U54" s="397">
        <f>56+1</f>
        <v>57</v>
      </c>
      <c r="V54" s="134">
        <v>53</v>
      </c>
      <c r="W54" s="134">
        <f>66+3</f>
        <v>69</v>
      </c>
      <c r="X54" s="22">
        <v>81</v>
      </c>
      <c r="Y54" s="22">
        <v>60</v>
      </c>
      <c r="Z54" s="134">
        <v>40</v>
      </c>
      <c r="AA54" s="134">
        <v>63</v>
      </c>
      <c r="AB54" s="134">
        <v>46</v>
      </c>
      <c r="AC54" s="134">
        <v>37</v>
      </c>
      <c r="AD54" s="135">
        <v>41</v>
      </c>
      <c r="AE54" s="343">
        <f t="shared" ref="AE54:AE63" si="24">IF(AD54=0," ",IF(AH54&gt;20,(AD54-AC54)/AC54," "))</f>
        <v>0.10810810810810811</v>
      </c>
      <c r="AF54" s="344">
        <f t="shared" ref="AF54:AF63" si="25">IF(AD54=0," ",IF(AH54&gt;20,(AD54-Y54)/Y54," "))</f>
        <v>-0.31666666666666665</v>
      </c>
      <c r="AG54" s="345">
        <f t="shared" ref="AG54:AG63" si="26">IF(AD54=0," ",(IF(AH54&gt;20,(AD54-T54)/T54," ")))</f>
        <v>-6.8181818181818177E-2</v>
      </c>
      <c r="AH54" s="211">
        <f t="shared" ref="AH54:AH63" si="27">IF(AB54&gt;0,AVERAGE(AB54:AD54),"  ")</f>
        <v>41.333333333333336</v>
      </c>
    </row>
    <row r="55" spans="1:168" ht="15" customHeight="1" x14ac:dyDescent="0.2">
      <c r="A55" s="17" t="s">
        <v>4</v>
      </c>
      <c r="B55" s="133">
        <v>117</v>
      </c>
      <c r="C55" s="133">
        <v>114</v>
      </c>
      <c r="D55" s="133">
        <v>129</v>
      </c>
      <c r="E55" s="133">
        <v>134</v>
      </c>
      <c r="F55" s="133">
        <v>153</v>
      </c>
      <c r="G55" s="133">
        <v>141</v>
      </c>
      <c r="H55" s="22">
        <v>181</v>
      </c>
      <c r="I55" s="22">
        <v>171</v>
      </c>
      <c r="J55" s="133">
        <v>168</v>
      </c>
      <c r="K55" s="133">
        <v>100</v>
      </c>
      <c r="L55" s="133">
        <v>29</v>
      </c>
      <c r="M55" s="133">
        <v>16</v>
      </c>
      <c r="N55" s="22">
        <v>10</v>
      </c>
      <c r="O55" s="386">
        <v>14</v>
      </c>
      <c r="P55" s="386">
        <v>26</v>
      </c>
      <c r="Q55" s="454">
        <v>26</v>
      </c>
      <c r="R55" s="454">
        <v>20</v>
      </c>
      <c r="S55" s="504">
        <f>23+1</f>
        <v>24</v>
      </c>
      <c r="T55" s="454">
        <v>18</v>
      </c>
      <c r="U55" s="397">
        <v>21</v>
      </c>
      <c r="V55" s="134">
        <v>10</v>
      </c>
      <c r="W55" s="134">
        <v>12</v>
      </c>
      <c r="X55" s="22">
        <v>1</v>
      </c>
      <c r="Y55" s="22">
        <v>0</v>
      </c>
      <c r="Z55" s="134">
        <v>0</v>
      </c>
      <c r="AA55" s="134">
        <v>0</v>
      </c>
      <c r="AB55" s="134">
        <v>0</v>
      </c>
      <c r="AC55" s="134">
        <v>0</v>
      </c>
      <c r="AD55" s="135">
        <v>0</v>
      </c>
      <c r="AE55" s="343" t="str">
        <f t="shared" si="24"/>
        <v xml:space="preserve"> </v>
      </c>
      <c r="AF55" s="344" t="str">
        <f t="shared" si="25"/>
        <v xml:space="preserve"> </v>
      </c>
      <c r="AG55" s="345" t="str">
        <f t="shared" si="26"/>
        <v xml:space="preserve"> </v>
      </c>
      <c r="AH55" s="211" t="str">
        <f t="shared" si="27"/>
        <v xml:space="preserve">  </v>
      </c>
    </row>
    <row r="56" spans="1:168" ht="15" customHeight="1" x14ac:dyDescent="0.2">
      <c r="A56" s="32" t="s">
        <v>123</v>
      </c>
      <c r="B56" s="133"/>
      <c r="C56" s="133"/>
      <c r="D56" s="133"/>
      <c r="E56" s="133"/>
      <c r="F56" s="133"/>
      <c r="G56" s="133"/>
      <c r="H56" s="22"/>
      <c r="I56" s="22"/>
      <c r="J56" s="133"/>
      <c r="K56" s="133"/>
      <c r="L56" s="133"/>
      <c r="M56" s="133"/>
      <c r="N56" s="22"/>
      <c r="O56" s="386"/>
      <c r="P56" s="386"/>
      <c r="Q56" s="454"/>
      <c r="R56" s="454">
        <v>0</v>
      </c>
      <c r="S56" s="504"/>
      <c r="T56" s="454">
        <v>0</v>
      </c>
      <c r="U56" s="397"/>
      <c r="V56" s="134">
        <v>2</v>
      </c>
      <c r="W56" s="134">
        <v>3</v>
      </c>
      <c r="X56" s="22">
        <v>8</v>
      </c>
      <c r="Y56" s="22">
        <v>10</v>
      </c>
      <c r="Z56" s="134">
        <v>13</v>
      </c>
      <c r="AA56" s="134">
        <v>8</v>
      </c>
      <c r="AB56" s="134">
        <v>5</v>
      </c>
      <c r="AC56" s="134">
        <v>5</v>
      </c>
      <c r="AD56" s="135">
        <v>4</v>
      </c>
      <c r="AE56" s="343" t="str">
        <f t="shared" si="24"/>
        <v xml:space="preserve"> </v>
      </c>
      <c r="AF56" s="344" t="str">
        <f t="shared" si="25"/>
        <v xml:space="preserve"> </v>
      </c>
      <c r="AG56" s="345" t="str">
        <f t="shared" si="26"/>
        <v xml:space="preserve"> </v>
      </c>
      <c r="AH56" s="211">
        <f t="shared" si="27"/>
        <v>4.666666666666667</v>
      </c>
    </row>
    <row r="57" spans="1:168" ht="15" customHeight="1" x14ac:dyDescent="0.2">
      <c r="A57" s="25" t="s">
        <v>8</v>
      </c>
      <c r="B57" s="176">
        <v>8</v>
      </c>
      <c r="C57" s="176">
        <v>14</v>
      </c>
      <c r="D57" s="176">
        <v>6</v>
      </c>
      <c r="E57" s="176">
        <v>14</v>
      </c>
      <c r="F57" s="176">
        <v>1</v>
      </c>
      <c r="G57" s="176">
        <v>6</v>
      </c>
      <c r="H57" s="177">
        <v>11</v>
      </c>
      <c r="I57" s="177">
        <v>2</v>
      </c>
      <c r="J57" s="176">
        <v>2</v>
      </c>
      <c r="K57" s="176">
        <v>3</v>
      </c>
      <c r="L57" s="176">
        <v>8</v>
      </c>
      <c r="M57" s="176">
        <v>8</v>
      </c>
      <c r="N57" s="177">
        <v>5</v>
      </c>
      <c r="O57" s="392">
        <v>10</v>
      </c>
      <c r="P57" s="392">
        <v>6</v>
      </c>
      <c r="Q57" s="461">
        <v>16</v>
      </c>
      <c r="R57" s="461">
        <f>10+2</f>
        <v>12</v>
      </c>
      <c r="S57" s="508">
        <v>17</v>
      </c>
      <c r="T57" s="461">
        <v>13</v>
      </c>
      <c r="U57" s="402">
        <v>15</v>
      </c>
      <c r="V57" s="152">
        <v>20</v>
      </c>
      <c r="W57" s="152">
        <f>11+3</f>
        <v>14</v>
      </c>
      <c r="X57" s="177">
        <v>18</v>
      </c>
      <c r="Y57" s="177">
        <v>26</v>
      </c>
      <c r="Z57" s="152">
        <v>10</v>
      </c>
      <c r="AA57" s="152">
        <v>22</v>
      </c>
      <c r="AB57" s="152">
        <v>18</v>
      </c>
      <c r="AC57" s="152">
        <v>8</v>
      </c>
      <c r="AD57" s="178">
        <v>14</v>
      </c>
      <c r="AE57" s="340" t="str">
        <f t="shared" si="24"/>
        <v xml:space="preserve"> </v>
      </c>
      <c r="AF57" s="341" t="str">
        <f t="shared" si="25"/>
        <v xml:space="preserve"> </v>
      </c>
      <c r="AG57" s="342" t="str">
        <f t="shared" si="26"/>
        <v xml:space="preserve"> </v>
      </c>
      <c r="AH57" s="363">
        <f t="shared" si="27"/>
        <v>13.333333333333334</v>
      </c>
    </row>
    <row r="58" spans="1:168" ht="15" customHeight="1" x14ac:dyDescent="0.2">
      <c r="A58" s="17" t="s">
        <v>13</v>
      </c>
      <c r="B58" s="133"/>
      <c r="C58" s="133"/>
      <c r="D58" s="133"/>
      <c r="E58" s="133"/>
      <c r="F58" s="133"/>
      <c r="G58" s="133"/>
      <c r="H58" s="22"/>
      <c r="I58" s="22"/>
      <c r="J58" s="133">
        <v>23</v>
      </c>
      <c r="K58" s="133">
        <v>28</v>
      </c>
      <c r="L58" s="133">
        <v>42</v>
      </c>
      <c r="M58" s="133">
        <v>59</v>
      </c>
      <c r="N58" s="22">
        <v>66</v>
      </c>
      <c r="O58" s="386">
        <v>61</v>
      </c>
      <c r="P58" s="386">
        <v>90</v>
      </c>
      <c r="Q58" s="454">
        <v>90</v>
      </c>
      <c r="R58" s="454">
        <f>48+7</f>
        <v>55</v>
      </c>
      <c r="S58" s="504">
        <f>58+5</f>
        <v>63</v>
      </c>
      <c r="T58" s="454">
        <v>43</v>
      </c>
      <c r="U58" s="397">
        <f>48+6</f>
        <v>54</v>
      </c>
      <c r="V58" s="134">
        <v>46</v>
      </c>
      <c r="W58" s="134">
        <f>49+3</f>
        <v>52</v>
      </c>
      <c r="X58" s="22">
        <v>75</v>
      </c>
      <c r="Y58" s="22">
        <v>56</v>
      </c>
      <c r="Z58" s="134">
        <v>66</v>
      </c>
      <c r="AA58" s="134">
        <v>56</v>
      </c>
      <c r="AB58" s="134">
        <v>64</v>
      </c>
      <c r="AC58" s="134">
        <v>55</v>
      </c>
      <c r="AD58" s="135">
        <v>44</v>
      </c>
      <c r="AE58" s="343">
        <f t="shared" si="24"/>
        <v>-0.2</v>
      </c>
      <c r="AF58" s="344">
        <f t="shared" si="25"/>
        <v>-0.21428571428571427</v>
      </c>
      <c r="AG58" s="345">
        <f t="shared" si="26"/>
        <v>2.3255813953488372E-2</v>
      </c>
      <c r="AH58" s="211">
        <f t="shared" si="27"/>
        <v>54.333333333333336</v>
      </c>
    </row>
    <row r="59" spans="1:168" ht="15" customHeight="1" x14ac:dyDescent="0.2">
      <c r="A59" s="18" t="s">
        <v>75</v>
      </c>
      <c r="B59" s="139">
        <v>22</v>
      </c>
      <c r="C59" s="139">
        <v>16</v>
      </c>
      <c r="D59" s="139">
        <v>22</v>
      </c>
      <c r="E59" s="139">
        <v>38</v>
      </c>
      <c r="F59" s="139">
        <v>36</v>
      </c>
      <c r="G59" s="139">
        <v>33</v>
      </c>
      <c r="H59" s="27">
        <v>56</v>
      </c>
      <c r="I59" s="27">
        <v>69</v>
      </c>
      <c r="J59" s="139">
        <v>65</v>
      </c>
      <c r="K59" s="139">
        <v>36</v>
      </c>
      <c r="L59" s="139">
        <v>38</v>
      </c>
      <c r="M59" s="139">
        <v>25</v>
      </c>
      <c r="N59" s="27">
        <v>25</v>
      </c>
      <c r="O59" s="387">
        <v>29</v>
      </c>
      <c r="P59" s="387">
        <v>21</v>
      </c>
      <c r="Q59" s="455">
        <v>27</v>
      </c>
      <c r="R59" s="455">
        <f>32+3</f>
        <v>35</v>
      </c>
      <c r="S59" s="505">
        <f>49+5</f>
        <v>54</v>
      </c>
      <c r="T59" s="455">
        <v>64</v>
      </c>
      <c r="U59" s="398">
        <f>56+8</f>
        <v>64</v>
      </c>
      <c r="V59" s="140">
        <v>67</v>
      </c>
      <c r="W59" s="140">
        <f>38+16</f>
        <v>54</v>
      </c>
      <c r="X59" s="27">
        <v>59</v>
      </c>
      <c r="Y59" s="27">
        <v>56</v>
      </c>
      <c r="Z59" s="140">
        <v>68</v>
      </c>
      <c r="AA59" s="140">
        <v>51</v>
      </c>
      <c r="AB59" s="140">
        <v>66</v>
      </c>
      <c r="AC59" s="140">
        <v>48</v>
      </c>
      <c r="AD59" s="141">
        <v>55</v>
      </c>
      <c r="AE59" s="346">
        <f t="shared" si="24"/>
        <v>0.14583333333333334</v>
      </c>
      <c r="AF59" s="347">
        <f t="shared" si="25"/>
        <v>-1.7857142857142856E-2</v>
      </c>
      <c r="AG59" s="348">
        <f t="shared" si="26"/>
        <v>-0.140625</v>
      </c>
      <c r="AH59" s="364">
        <f t="shared" si="27"/>
        <v>56.333333333333336</v>
      </c>
    </row>
    <row r="60" spans="1:168" ht="15" customHeight="1" x14ac:dyDescent="0.2">
      <c r="A60" s="1" t="s">
        <v>124</v>
      </c>
      <c r="B60" s="133"/>
      <c r="C60" s="133"/>
      <c r="D60" s="133"/>
      <c r="E60" s="133"/>
      <c r="F60" s="133"/>
      <c r="G60" s="133"/>
      <c r="H60" s="22"/>
      <c r="I60" s="22"/>
      <c r="J60" s="133"/>
      <c r="K60" s="133"/>
      <c r="L60" s="133"/>
      <c r="M60" s="133"/>
      <c r="N60" s="22"/>
      <c r="O60" s="386"/>
      <c r="P60" s="386"/>
      <c r="Q60" s="454"/>
      <c r="R60" s="454">
        <v>0</v>
      </c>
      <c r="S60" s="504"/>
      <c r="T60" s="454">
        <v>0</v>
      </c>
      <c r="U60" s="397"/>
      <c r="V60" s="134"/>
      <c r="W60" s="134">
        <v>2</v>
      </c>
      <c r="X60" s="22">
        <v>5</v>
      </c>
      <c r="Y60" s="22">
        <v>1</v>
      </c>
      <c r="Z60" s="134">
        <v>3</v>
      </c>
      <c r="AA60" s="134">
        <v>3</v>
      </c>
      <c r="AB60" s="134">
        <v>2</v>
      </c>
      <c r="AC60" s="134">
        <v>2</v>
      </c>
      <c r="AD60" s="135">
        <v>9</v>
      </c>
      <c r="AE60" s="343" t="str">
        <f t="shared" si="24"/>
        <v xml:space="preserve"> </v>
      </c>
      <c r="AF60" s="344" t="str">
        <f t="shared" si="25"/>
        <v xml:space="preserve"> </v>
      </c>
      <c r="AG60" s="345" t="str">
        <f t="shared" si="26"/>
        <v xml:space="preserve"> </v>
      </c>
      <c r="AH60" s="211">
        <f t="shared" si="27"/>
        <v>4.333333333333333</v>
      </c>
    </row>
    <row r="61" spans="1:168" ht="15" customHeight="1" x14ac:dyDescent="0.2">
      <c r="A61" s="17" t="s">
        <v>20</v>
      </c>
      <c r="B61" s="133"/>
      <c r="C61" s="133"/>
      <c r="D61" s="133"/>
      <c r="E61" s="133"/>
      <c r="F61" s="133"/>
      <c r="G61" s="133"/>
      <c r="H61" s="22"/>
      <c r="I61" s="22"/>
      <c r="J61" s="133">
        <v>1</v>
      </c>
      <c r="K61" s="133">
        <v>20</v>
      </c>
      <c r="L61" s="133">
        <v>54</v>
      </c>
      <c r="M61" s="133">
        <v>91</v>
      </c>
      <c r="N61" s="22">
        <v>95</v>
      </c>
      <c r="O61" s="386">
        <v>91</v>
      </c>
      <c r="P61" s="386">
        <v>102</v>
      </c>
      <c r="Q61" s="454">
        <v>103</v>
      </c>
      <c r="R61" s="454">
        <f>101+4</f>
        <v>105</v>
      </c>
      <c r="S61" s="504">
        <f>95+3</f>
        <v>98</v>
      </c>
      <c r="T61" s="454">
        <v>89</v>
      </c>
      <c r="U61" s="397">
        <f>95+4</f>
        <v>99</v>
      </c>
      <c r="V61" s="134">
        <v>108</v>
      </c>
      <c r="W61" s="134">
        <v>109</v>
      </c>
      <c r="X61" s="22">
        <v>98</v>
      </c>
      <c r="Y61" s="22">
        <v>94</v>
      </c>
      <c r="Z61" s="134">
        <v>101</v>
      </c>
      <c r="AA61" s="134">
        <v>96</v>
      </c>
      <c r="AB61" s="134">
        <v>94</v>
      </c>
      <c r="AC61" s="134">
        <v>74</v>
      </c>
      <c r="AD61" s="135">
        <v>92</v>
      </c>
      <c r="AE61" s="343">
        <f t="shared" si="24"/>
        <v>0.24324324324324326</v>
      </c>
      <c r="AF61" s="344">
        <f t="shared" si="25"/>
        <v>-2.1276595744680851E-2</v>
      </c>
      <c r="AG61" s="345">
        <f t="shared" si="26"/>
        <v>3.3707865168539325E-2</v>
      </c>
      <c r="AH61" s="211">
        <f t="shared" si="27"/>
        <v>86.666666666666671</v>
      </c>
    </row>
    <row r="62" spans="1:168" ht="15" customHeight="1" x14ac:dyDescent="0.2">
      <c r="A62" s="17" t="s">
        <v>21</v>
      </c>
      <c r="B62" s="133"/>
      <c r="C62" s="133"/>
      <c r="D62" s="133"/>
      <c r="E62" s="133"/>
      <c r="F62" s="133"/>
      <c r="G62" s="133"/>
      <c r="H62" s="22"/>
      <c r="I62" s="22"/>
      <c r="J62" s="133">
        <v>11</v>
      </c>
      <c r="K62" s="133">
        <v>37</v>
      </c>
      <c r="L62" s="133">
        <v>61</v>
      </c>
      <c r="M62" s="133">
        <v>54</v>
      </c>
      <c r="N62" s="22">
        <v>68</v>
      </c>
      <c r="O62" s="386">
        <v>100</v>
      </c>
      <c r="P62" s="386">
        <v>93</v>
      </c>
      <c r="Q62" s="454">
        <v>72</v>
      </c>
      <c r="R62" s="454">
        <f>47+3</f>
        <v>50</v>
      </c>
      <c r="S62" s="504">
        <f>51+2</f>
        <v>53</v>
      </c>
      <c r="T62" s="454">
        <v>57</v>
      </c>
      <c r="U62" s="397">
        <f>45+3</f>
        <v>48</v>
      </c>
      <c r="V62" s="134">
        <v>70</v>
      </c>
      <c r="W62" s="134">
        <v>72</v>
      </c>
      <c r="X62" s="22">
        <v>78</v>
      </c>
      <c r="Y62" s="22">
        <v>81</v>
      </c>
      <c r="Z62" s="134">
        <v>79</v>
      </c>
      <c r="AA62" s="134">
        <v>85</v>
      </c>
      <c r="AB62" s="134">
        <v>107</v>
      </c>
      <c r="AC62" s="134">
        <v>67</v>
      </c>
      <c r="AD62" s="135">
        <v>86</v>
      </c>
      <c r="AE62" s="343">
        <f t="shared" si="24"/>
        <v>0.28358208955223879</v>
      </c>
      <c r="AF62" s="344">
        <f t="shared" si="25"/>
        <v>6.1728395061728392E-2</v>
      </c>
      <c r="AG62" s="345">
        <f t="shared" si="26"/>
        <v>0.50877192982456143</v>
      </c>
      <c r="AH62" s="211">
        <f t="shared" si="27"/>
        <v>86.666666666666671</v>
      </c>
    </row>
    <row r="63" spans="1:168" s="42" customFormat="1" ht="15" customHeight="1" thickBot="1" x14ac:dyDescent="0.25">
      <c r="A63" s="320" t="s">
        <v>92</v>
      </c>
      <c r="B63" s="321">
        <f t="shared" ref="B63:X63" si="28">SUM(B54:B62)</f>
        <v>209</v>
      </c>
      <c r="C63" s="321">
        <f t="shared" si="28"/>
        <v>193</v>
      </c>
      <c r="D63" s="321">
        <f t="shared" si="28"/>
        <v>212</v>
      </c>
      <c r="E63" s="321">
        <f t="shared" si="28"/>
        <v>246</v>
      </c>
      <c r="F63" s="321">
        <f t="shared" si="28"/>
        <v>232</v>
      </c>
      <c r="G63" s="321">
        <f t="shared" si="28"/>
        <v>206</v>
      </c>
      <c r="H63" s="321">
        <f t="shared" si="28"/>
        <v>294</v>
      </c>
      <c r="I63" s="321">
        <f t="shared" si="28"/>
        <v>272</v>
      </c>
      <c r="J63" s="321">
        <f t="shared" si="28"/>
        <v>295</v>
      </c>
      <c r="K63" s="321">
        <f t="shared" si="28"/>
        <v>256</v>
      </c>
      <c r="L63" s="321">
        <f t="shared" si="28"/>
        <v>266</v>
      </c>
      <c r="M63" s="321">
        <f t="shared" si="28"/>
        <v>293</v>
      </c>
      <c r="N63" s="321">
        <f t="shared" si="28"/>
        <v>307</v>
      </c>
      <c r="O63" s="404">
        <f t="shared" si="28"/>
        <v>335</v>
      </c>
      <c r="P63" s="404">
        <f t="shared" si="28"/>
        <v>399</v>
      </c>
      <c r="Q63" s="465">
        <f t="shared" si="28"/>
        <v>394</v>
      </c>
      <c r="R63" s="465">
        <f>SUM(R54:R62)</f>
        <v>330</v>
      </c>
      <c r="S63" s="465">
        <f t="shared" si="28"/>
        <v>356</v>
      </c>
      <c r="T63" s="465">
        <f t="shared" si="28"/>
        <v>328</v>
      </c>
      <c r="U63" s="322">
        <f t="shared" si="28"/>
        <v>358</v>
      </c>
      <c r="V63" s="321">
        <f t="shared" si="28"/>
        <v>376</v>
      </c>
      <c r="W63" s="321">
        <f t="shared" si="28"/>
        <v>387</v>
      </c>
      <c r="X63" s="321">
        <f t="shared" si="28"/>
        <v>423</v>
      </c>
      <c r="Y63" s="321">
        <f t="shared" ref="Y63:AD63" si="29">SUM(Y54:Y62)</f>
        <v>384</v>
      </c>
      <c r="Z63" s="321">
        <f t="shared" si="29"/>
        <v>380</v>
      </c>
      <c r="AA63" s="321">
        <f t="shared" si="29"/>
        <v>384</v>
      </c>
      <c r="AB63" s="321">
        <f t="shared" si="29"/>
        <v>402</v>
      </c>
      <c r="AC63" s="321">
        <f t="shared" si="29"/>
        <v>296</v>
      </c>
      <c r="AD63" s="321">
        <f t="shared" si="29"/>
        <v>345</v>
      </c>
      <c r="AE63" s="323">
        <f t="shared" si="24"/>
        <v>0.16554054054054054</v>
      </c>
      <c r="AF63" s="324">
        <f t="shared" si="25"/>
        <v>-0.1015625</v>
      </c>
      <c r="AG63" s="325">
        <f t="shared" si="26"/>
        <v>5.1829268292682924E-2</v>
      </c>
      <c r="AH63" s="326">
        <f t="shared" si="27"/>
        <v>347.66666666666669</v>
      </c>
      <c r="AI63" s="153"/>
      <c r="AJ63" s="155"/>
      <c r="AK63" s="155"/>
      <c r="AL63" s="155"/>
      <c r="AM63" s="155"/>
      <c r="AN63" s="155"/>
      <c r="AO63" s="155"/>
      <c r="AP63" s="155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</row>
    <row r="64" spans="1:168" ht="15" customHeight="1" thickTop="1" x14ac:dyDescent="0.2">
      <c r="A64" s="313" t="s">
        <v>93</v>
      </c>
      <c r="B64" s="314"/>
      <c r="C64" s="315"/>
      <c r="D64" s="315"/>
      <c r="E64" s="314"/>
      <c r="F64" s="316"/>
      <c r="G64" s="316"/>
      <c r="H64" s="316"/>
      <c r="I64" s="314"/>
      <c r="J64" s="314"/>
      <c r="K64" s="314"/>
      <c r="L64" s="314"/>
      <c r="M64" s="314"/>
      <c r="N64" s="314"/>
      <c r="O64" s="317"/>
      <c r="P64" s="407"/>
      <c r="Q64" s="317"/>
      <c r="R64" s="317"/>
      <c r="S64" s="317"/>
      <c r="T64" s="317"/>
      <c r="U64" s="317"/>
      <c r="V64" s="317"/>
      <c r="W64" s="317"/>
      <c r="X64" s="318"/>
      <c r="Y64" s="318"/>
      <c r="Z64" s="318"/>
      <c r="AA64" s="318"/>
      <c r="AB64" s="318"/>
      <c r="AC64" s="318"/>
      <c r="AD64" s="318"/>
      <c r="AE64" s="318"/>
      <c r="AF64" s="319"/>
      <c r="AG64" s="319"/>
      <c r="AH64" s="331"/>
      <c r="AI64" s="154"/>
      <c r="AJ64" s="159"/>
      <c r="AK64" s="159"/>
      <c r="AL64" s="159"/>
      <c r="AM64" s="159"/>
      <c r="AN64" s="159"/>
      <c r="AO64" s="159"/>
      <c r="AP64" s="1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  <c r="FK64" s="59"/>
      <c r="FL64" s="59"/>
    </row>
    <row r="65" spans="1:177" ht="15" customHeight="1" x14ac:dyDescent="0.2">
      <c r="A65" s="17" t="s">
        <v>9</v>
      </c>
      <c r="B65" s="133"/>
      <c r="C65" s="133">
        <v>0</v>
      </c>
      <c r="D65" s="133"/>
      <c r="E65" s="133">
        <v>0</v>
      </c>
      <c r="F65" s="133">
        <v>0</v>
      </c>
      <c r="G65" s="133">
        <v>0</v>
      </c>
      <c r="H65" s="22">
        <v>0</v>
      </c>
      <c r="I65" s="22">
        <v>0</v>
      </c>
      <c r="J65" s="133">
        <v>0</v>
      </c>
      <c r="K65" s="133">
        <v>0</v>
      </c>
      <c r="L65" s="133">
        <v>12</v>
      </c>
      <c r="M65" s="133">
        <v>22</v>
      </c>
      <c r="N65" s="22">
        <v>28</v>
      </c>
      <c r="O65" s="385">
        <v>34</v>
      </c>
      <c r="P65" s="386">
        <v>43</v>
      </c>
      <c r="Q65" s="454">
        <v>36</v>
      </c>
      <c r="R65" s="460">
        <f>43+2</f>
        <v>45</v>
      </c>
      <c r="S65" s="504">
        <v>39</v>
      </c>
      <c r="T65" s="454">
        <v>56</v>
      </c>
      <c r="U65" s="397">
        <f>70+1</f>
        <v>71</v>
      </c>
      <c r="V65" s="134">
        <v>42</v>
      </c>
      <c r="W65" s="134">
        <f>55+2</f>
        <v>57</v>
      </c>
      <c r="X65" s="22">
        <v>59</v>
      </c>
      <c r="Y65" s="22">
        <v>48</v>
      </c>
      <c r="Z65" s="134">
        <v>39</v>
      </c>
      <c r="AA65" s="134">
        <v>48</v>
      </c>
      <c r="AB65" s="134">
        <v>58</v>
      </c>
      <c r="AC65" s="134">
        <v>49</v>
      </c>
      <c r="AD65" s="135">
        <v>56</v>
      </c>
      <c r="AE65" s="197">
        <f t="shared" ref="AE65:AE72" si="30">IF(AD65=0," ",IF(AH65&gt;20,(AD65-AC65)/AC65," "))</f>
        <v>0.14285714285714285</v>
      </c>
      <c r="AF65" s="349">
        <f t="shared" ref="AF65:AF72" si="31">IF(AD65=0," ",IF(AH65&gt;20,(AD65-Y65)/Y65," "))</f>
        <v>0.16666666666666666</v>
      </c>
      <c r="AG65" s="350">
        <f t="shared" ref="AG65:AG72" si="32">IF(AD65=0," ",(IF(AH65&gt;20,(AD65-T65)/T65," ")))</f>
        <v>0</v>
      </c>
      <c r="AH65" s="211">
        <f t="shared" ref="AH65:AH72" si="33">IF(AB65&gt;0,AVERAGE(AB65:AD65),"  ")</f>
        <v>54.333333333333336</v>
      </c>
    </row>
    <row r="66" spans="1:177" ht="15" customHeight="1" x14ac:dyDescent="0.2">
      <c r="A66" s="17" t="s">
        <v>10</v>
      </c>
      <c r="B66" s="133">
        <v>163</v>
      </c>
      <c r="C66" s="133">
        <v>161</v>
      </c>
      <c r="D66" s="133">
        <v>185</v>
      </c>
      <c r="E66" s="133">
        <v>160</v>
      </c>
      <c r="F66" s="133">
        <v>167</v>
      </c>
      <c r="G66" s="133">
        <v>137</v>
      </c>
      <c r="H66" s="22">
        <v>168</v>
      </c>
      <c r="I66" s="22">
        <v>169</v>
      </c>
      <c r="J66" s="133">
        <v>194</v>
      </c>
      <c r="K66" s="133">
        <v>145</v>
      </c>
      <c r="L66" s="133">
        <v>108</v>
      </c>
      <c r="M66" s="133">
        <v>129</v>
      </c>
      <c r="N66" s="22">
        <v>113</v>
      </c>
      <c r="O66" s="386">
        <v>98</v>
      </c>
      <c r="P66" s="386">
        <v>97</v>
      </c>
      <c r="Q66" s="454">
        <v>93</v>
      </c>
      <c r="R66" s="454">
        <f>96+4</f>
        <v>100</v>
      </c>
      <c r="S66" s="504">
        <f>113+3</f>
        <v>116</v>
      </c>
      <c r="T66" s="454">
        <v>117</v>
      </c>
      <c r="U66" s="397">
        <f>115+9</f>
        <v>124</v>
      </c>
      <c r="V66" s="134">
        <v>102</v>
      </c>
      <c r="W66" s="134">
        <v>122</v>
      </c>
      <c r="X66" s="22">
        <v>113</v>
      </c>
      <c r="Y66" s="22">
        <v>81</v>
      </c>
      <c r="Z66" s="134">
        <v>90</v>
      </c>
      <c r="AA66" s="134">
        <v>77</v>
      </c>
      <c r="AB66" s="134">
        <v>49</v>
      </c>
      <c r="AC66" s="134">
        <v>76</v>
      </c>
      <c r="AD66" s="135">
        <v>78</v>
      </c>
      <c r="AE66" s="346">
        <f t="shared" si="30"/>
        <v>2.6315789473684209E-2</v>
      </c>
      <c r="AF66" s="347">
        <f t="shared" si="31"/>
        <v>-3.7037037037037035E-2</v>
      </c>
      <c r="AG66" s="348">
        <f t="shared" si="32"/>
        <v>-0.33333333333333331</v>
      </c>
      <c r="AH66" s="211">
        <f t="shared" si="33"/>
        <v>67.666666666666671</v>
      </c>
    </row>
    <row r="67" spans="1:177" ht="15" customHeight="1" x14ac:dyDescent="0.2">
      <c r="A67" s="25" t="s">
        <v>16</v>
      </c>
      <c r="B67" s="176">
        <v>0</v>
      </c>
      <c r="C67" s="176">
        <v>0</v>
      </c>
      <c r="D67" s="176"/>
      <c r="E67" s="176">
        <v>0</v>
      </c>
      <c r="F67" s="176">
        <v>0</v>
      </c>
      <c r="G67" s="176">
        <v>0</v>
      </c>
      <c r="H67" s="177">
        <v>0</v>
      </c>
      <c r="I67" s="177">
        <v>0</v>
      </c>
      <c r="J67" s="176">
        <v>0</v>
      </c>
      <c r="K67" s="176">
        <v>1</v>
      </c>
      <c r="L67" s="176">
        <v>7</v>
      </c>
      <c r="M67" s="176">
        <v>4</v>
      </c>
      <c r="N67" s="177">
        <v>2</v>
      </c>
      <c r="O67" s="392">
        <v>3</v>
      </c>
      <c r="P67" s="392">
        <v>5</v>
      </c>
      <c r="Q67" s="461">
        <v>4</v>
      </c>
      <c r="R67" s="461">
        <f>14+1</f>
        <v>15</v>
      </c>
      <c r="S67" s="508">
        <v>19</v>
      </c>
      <c r="T67" s="461">
        <v>22</v>
      </c>
      <c r="U67" s="402">
        <f>14+1</f>
        <v>15</v>
      </c>
      <c r="V67" s="152">
        <v>26</v>
      </c>
      <c r="W67" s="152">
        <f>26+1</f>
        <v>27</v>
      </c>
      <c r="X67" s="177">
        <v>12</v>
      </c>
      <c r="Y67" s="177">
        <v>1</v>
      </c>
      <c r="Z67" s="152">
        <v>0</v>
      </c>
      <c r="AA67" s="152">
        <v>0</v>
      </c>
      <c r="AB67" s="152">
        <v>0</v>
      </c>
      <c r="AC67" s="152">
        <v>0</v>
      </c>
      <c r="AD67" s="178">
        <v>0</v>
      </c>
      <c r="AE67" s="343" t="str">
        <f t="shared" si="30"/>
        <v xml:space="preserve"> </v>
      </c>
      <c r="AF67" s="344" t="str">
        <f t="shared" si="31"/>
        <v xml:space="preserve"> </v>
      </c>
      <c r="AG67" s="345" t="str">
        <f t="shared" si="32"/>
        <v xml:space="preserve"> </v>
      </c>
      <c r="AH67" s="363" t="str">
        <f t="shared" si="33"/>
        <v xml:space="preserve">  </v>
      </c>
    </row>
    <row r="68" spans="1:177" ht="15" customHeight="1" x14ac:dyDescent="0.2">
      <c r="A68" s="17" t="s">
        <v>134</v>
      </c>
      <c r="B68" s="133"/>
      <c r="C68" s="133"/>
      <c r="D68" s="133"/>
      <c r="E68" s="133"/>
      <c r="F68" s="133"/>
      <c r="G68" s="133"/>
      <c r="H68" s="22"/>
      <c r="I68" s="22"/>
      <c r="J68" s="133"/>
      <c r="K68" s="133"/>
      <c r="L68" s="133"/>
      <c r="M68" s="133"/>
      <c r="N68" s="22"/>
      <c r="O68" s="386"/>
      <c r="P68" s="386"/>
      <c r="Q68" s="454"/>
      <c r="R68" s="454">
        <v>0</v>
      </c>
      <c r="S68" s="504"/>
      <c r="T68" s="454">
        <v>0</v>
      </c>
      <c r="U68" s="397"/>
      <c r="V68" s="134"/>
      <c r="W68" s="134">
        <v>0</v>
      </c>
      <c r="X68" s="22">
        <v>0</v>
      </c>
      <c r="Y68" s="22">
        <v>0</v>
      </c>
      <c r="Z68" s="134">
        <v>0</v>
      </c>
      <c r="AA68" s="134">
        <v>1</v>
      </c>
      <c r="AB68" s="134">
        <v>0</v>
      </c>
      <c r="AC68" s="134">
        <v>5</v>
      </c>
      <c r="AD68" s="135">
        <v>7</v>
      </c>
      <c r="AE68" s="343">
        <f t="shared" si="30"/>
        <v>0.4</v>
      </c>
      <c r="AF68" s="344"/>
      <c r="AG68" s="345"/>
      <c r="AH68" s="211" t="str">
        <f t="shared" si="33"/>
        <v xml:space="preserve">  </v>
      </c>
    </row>
    <row r="69" spans="1:177" ht="15" customHeight="1" x14ac:dyDescent="0.2">
      <c r="A69" s="1" t="s">
        <v>25</v>
      </c>
      <c r="B69" s="133">
        <v>38</v>
      </c>
      <c r="C69" s="133">
        <v>48</v>
      </c>
      <c r="D69" s="133">
        <v>68</v>
      </c>
      <c r="E69" s="133">
        <v>56</v>
      </c>
      <c r="F69" s="133">
        <v>52</v>
      </c>
      <c r="G69" s="133">
        <v>63</v>
      </c>
      <c r="H69" s="22">
        <v>62</v>
      </c>
      <c r="I69" s="22">
        <v>63</v>
      </c>
      <c r="J69" s="133">
        <v>37</v>
      </c>
      <c r="K69" s="133">
        <v>38</v>
      </c>
      <c r="L69" s="133">
        <v>34</v>
      </c>
      <c r="M69" s="133">
        <v>41</v>
      </c>
      <c r="N69" s="22">
        <v>43</v>
      </c>
      <c r="O69" s="386">
        <v>30</v>
      </c>
      <c r="P69" s="386">
        <v>28</v>
      </c>
      <c r="Q69" s="454">
        <v>37</v>
      </c>
      <c r="R69" s="454">
        <v>38</v>
      </c>
      <c r="S69" s="504">
        <v>29</v>
      </c>
      <c r="T69" s="454">
        <v>44</v>
      </c>
      <c r="U69" s="397">
        <v>40</v>
      </c>
      <c r="V69" s="134">
        <v>22</v>
      </c>
      <c r="W69" s="134">
        <v>21</v>
      </c>
      <c r="X69" s="22">
        <v>31</v>
      </c>
      <c r="Y69" s="22">
        <v>22</v>
      </c>
      <c r="Z69" s="134">
        <v>18</v>
      </c>
      <c r="AA69" s="134">
        <v>25</v>
      </c>
      <c r="AB69" s="134">
        <v>25</v>
      </c>
      <c r="AC69" s="134">
        <v>35</v>
      </c>
      <c r="AD69" s="135">
        <v>18</v>
      </c>
      <c r="AE69" s="343">
        <f t="shared" si="30"/>
        <v>-0.48571428571428571</v>
      </c>
      <c r="AF69" s="344">
        <f t="shared" si="31"/>
        <v>-0.18181818181818182</v>
      </c>
      <c r="AG69" s="345">
        <f t="shared" si="32"/>
        <v>-0.59090909090909094</v>
      </c>
      <c r="AH69" s="211">
        <f t="shared" si="33"/>
        <v>26</v>
      </c>
    </row>
    <row r="70" spans="1:177" ht="15" hidden="1" customHeight="1" x14ac:dyDescent="0.2">
      <c r="A70" s="146" t="s">
        <v>48</v>
      </c>
      <c r="B70" s="133">
        <v>6</v>
      </c>
      <c r="C70" s="133">
        <v>4</v>
      </c>
      <c r="D70" s="133"/>
      <c r="E70" s="133"/>
      <c r="F70" s="133"/>
      <c r="G70" s="133"/>
      <c r="H70" s="22"/>
      <c r="I70" s="22">
        <v>0</v>
      </c>
      <c r="J70" s="133">
        <v>0</v>
      </c>
      <c r="K70" s="133">
        <v>0</v>
      </c>
      <c r="L70" s="133">
        <v>0</v>
      </c>
      <c r="M70" s="133">
        <v>0</v>
      </c>
      <c r="N70" s="22">
        <v>0</v>
      </c>
      <c r="O70" s="386"/>
      <c r="P70" s="386"/>
      <c r="Q70" s="454"/>
      <c r="R70" s="454"/>
      <c r="S70" s="504"/>
      <c r="T70" s="454"/>
      <c r="U70" s="397"/>
      <c r="V70" s="134"/>
      <c r="W70" s="134"/>
      <c r="X70" s="22"/>
      <c r="Y70" s="22"/>
      <c r="Z70" s="135"/>
      <c r="AA70" s="135"/>
      <c r="AB70" s="135"/>
      <c r="AC70" s="135"/>
      <c r="AD70" s="135"/>
      <c r="AE70" s="135" t="str">
        <f t="shared" si="30"/>
        <v xml:space="preserve"> </v>
      </c>
      <c r="AF70" s="136" t="str">
        <f t="shared" si="31"/>
        <v xml:space="preserve"> </v>
      </c>
      <c r="AG70" s="138" t="str">
        <f t="shared" si="32"/>
        <v xml:space="preserve"> </v>
      </c>
      <c r="AH70" s="137" t="str">
        <f t="shared" si="33"/>
        <v xml:space="preserve">  </v>
      </c>
    </row>
    <row r="71" spans="1:177" s="42" customFormat="1" ht="15" customHeight="1" thickBot="1" x14ac:dyDescent="0.25">
      <c r="A71" s="195" t="s">
        <v>94</v>
      </c>
      <c r="B71" s="198">
        <f t="shared" ref="B71:X71" si="34">SUM(B65:B70)</f>
        <v>207</v>
      </c>
      <c r="C71" s="198">
        <f t="shared" si="34"/>
        <v>213</v>
      </c>
      <c r="D71" s="198">
        <f t="shared" si="34"/>
        <v>253</v>
      </c>
      <c r="E71" s="198">
        <f t="shared" si="34"/>
        <v>216</v>
      </c>
      <c r="F71" s="198">
        <f t="shared" si="34"/>
        <v>219</v>
      </c>
      <c r="G71" s="198">
        <f t="shared" si="34"/>
        <v>200</v>
      </c>
      <c r="H71" s="198">
        <f t="shared" si="34"/>
        <v>230</v>
      </c>
      <c r="I71" s="198">
        <f t="shared" si="34"/>
        <v>232</v>
      </c>
      <c r="J71" s="198">
        <f t="shared" si="34"/>
        <v>231</v>
      </c>
      <c r="K71" s="198">
        <f t="shared" si="34"/>
        <v>184</v>
      </c>
      <c r="L71" s="198">
        <f t="shared" si="34"/>
        <v>161</v>
      </c>
      <c r="M71" s="198">
        <f t="shared" si="34"/>
        <v>196</v>
      </c>
      <c r="N71" s="198">
        <f t="shared" si="34"/>
        <v>186</v>
      </c>
      <c r="O71" s="405">
        <f t="shared" si="34"/>
        <v>165</v>
      </c>
      <c r="P71" s="405">
        <f t="shared" si="34"/>
        <v>173</v>
      </c>
      <c r="Q71" s="466">
        <f t="shared" si="34"/>
        <v>170</v>
      </c>
      <c r="R71" s="466">
        <f t="shared" si="34"/>
        <v>198</v>
      </c>
      <c r="S71" s="466">
        <f t="shared" si="34"/>
        <v>203</v>
      </c>
      <c r="T71" s="466">
        <f t="shared" si="34"/>
        <v>239</v>
      </c>
      <c r="U71" s="290">
        <f t="shared" si="34"/>
        <v>250</v>
      </c>
      <c r="V71" s="198">
        <f t="shared" si="34"/>
        <v>192</v>
      </c>
      <c r="W71" s="198">
        <f>SUM(W65:W70)</f>
        <v>227</v>
      </c>
      <c r="X71" s="198">
        <f t="shared" si="34"/>
        <v>215</v>
      </c>
      <c r="Y71" s="198">
        <f t="shared" ref="Y71:AD71" si="35">SUM(Y65:Y70)</f>
        <v>152</v>
      </c>
      <c r="Z71" s="198">
        <f t="shared" si="35"/>
        <v>147</v>
      </c>
      <c r="AA71" s="198">
        <f t="shared" si="35"/>
        <v>151</v>
      </c>
      <c r="AB71" s="198">
        <f t="shared" si="35"/>
        <v>132</v>
      </c>
      <c r="AC71" s="198">
        <f t="shared" si="35"/>
        <v>165</v>
      </c>
      <c r="AD71" s="198">
        <f t="shared" si="35"/>
        <v>159</v>
      </c>
      <c r="AE71" s="327">
        <f t="shared" si="30"/>
        <v>-3.6363636363636362E-2</v>
      </c>
      <c r="AF71" s="327">
        <f t="shared" si="31"/>
        <v>4.6052631578947366E-2</v>
      </c>
      <c r="AG71" s="327">
        <f t="shared" si="32"/>
        <v>-0.33472803347280333</v>
      </c>
      <c r="AH71" s="198">
        <f t="shared" si="33"/>
        <v>152</v>
      </c>
      <c r="AI71" s="153"/>
      <c r="AJ71" s="155"/>
      <c r="AK71" s="155"/>
      <c r="AL71" s="155"/>
      <c r="AM71" s="155"/>
      <c r="AN71" s="155"/>
      <c r="AO71" s="155"/>
      <c r="AP71" s="155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</row>
    <row r="72" spans="1:177" ht="15" customHeight="1" thickTop="1" thickBot="1" x14ac:dyDescent="0.25">
      <c r="A72" s="196" t="s">
        <v>95</v>
      </c>
      <c r="B72" s="60">
        <f t="shared" ref="B72:X72" si="36">+B71+B63+B52+B38+B16</f>
        <v>1091</v>
      </c>
      <c r="C72" s="60">
        <f t="shared" si="36"/>
        <v>1160</v>
      </c>
      <c r="D72" s="60">
        <f t="shared" si="36"/>
        <v>1201</v>
      </c>
      <c r="E72" s="60">
        <f t="shared" si="36"/>
        <v>1260</v>
      </c>
      <c r="F72" s="60">
        <f t="shared" si="36"/>
        <v>1169</v>
      </c>
      <c r="G72" s="60">
        <f t="shared" si="36"/>
        <v>1056</v>
      </c>
      <c r="H72" s="60">
        <f t="shared" si="36"/>
        <v>1285</v>
      </c>
      <c r="I72" s="60">
        <f t="shared" si="36"/>
        <v>1283</v>
      </c>
      <c r="J72" s="60">
        <f t="shared" si="36"/>
        <v>1364</v>
      </c>
      <c r="K72" s="60">
        <f t="shared" si="36"/>
        <v>1301</v>
      </c>
      <c r="L72" s="60">
        <f t="shared" si="36"/>
        <v>1313</v>
      </c>
      <c r="M72" s="60">
        <f t="shared" si="36"/>
        <v>1401</v>
      </c>
      <c r="N72" s="60">
        <f t="shared" si="36"/>
        <v>1439</v>
      </c>
      <c r="O72" s="406">
        <f t="shared" si="36"/>
        <v>1553</v>
      </c>
      <c r="P72" s="406">
        <f t="shared" si="36"/>
        <v>1608</v>
      </c>
      <c r="Q72" s="467">
        <f t="shared" si="36"/>
        <v>1661</v>
      </c>
      <c r="R72" s="467">
        <f>+R71+R63+R52+R38+R16</f>
        <v>1709</v>
      </c>
      <c r="S72" s="467">
        <f t="shared" si="36"/>
        <v>1787</v>
      </c>
      <c r="T72" s="467">
        <f t="shared" si="36"/>
        <v>1872</v>
      </c>
      <c r="U72" s="291">
        <f t="shared" si="36"/>
        <v>1899</v>
      </c>
      <c r="V72" s="60">
        <f t="shared" si="36"/>
        <v>1935</v>
      </c>
      <c r="W72" s="60">
        <f t="shared" si="36"/>
        <v>1967</v>
      </c>
      <c r="X72" s="60">
        <f t="shared" si="36"/>
        <v>2026</v>
      </c>
      <c r="Y72" s="60">
        <f t="shared" ref="Y72:AD72" si="37">+Y71+Y63+Y52+Y38+Y16</f>
        <v>1872</v>
      </c>
      <c r="Z72" s="60">
        <f t="shared" si="37"/>
        <v>1805</v>
      </c>
      <c r="AA72" s="60">
        <f t="shared" si="37"/>
        <v>1907</v>
      </c>
      <c r="AB72" s="60">
        <f t="shared" si="37"/>
        <v>1842</v>
      </c>
      <c r="AC72" s="60">
        <f t="shared" si="37"/>
        <v>1664</v>
      </c>
      <c r="AD72" s="60">
        <f t="shared" si="37"/>
        <v>1605</v>
      </c>
      <c r="AE72" s="199">
        <f t="shared" si="30"/>
        <v>-3.5456730769230768E-2</v>
      </c>
      <c r="AF72" s="199">
        <f t="shared" si="31"/>
        <v>-0.14262820512820512</v>
      </c>
      <c r="AG72" s="200">
        <f t="shared" si="32"/>
        <v>-0.14262820512820512</v>
      </c>
      <c r="AH72" s="328">
        <f t="shared" si="33"/>
        <v>1703.6666666666667</v>
      </c>
      <c r="AI72" s="154"/>
      <c r="AJ72" s="159"/>
      <c r="AK72" s="159"/>
      <c r="AL72" s="159"/>
      <c r="AM72" s="159"/>
      <c r="AN72" s="159"/>
      <c r="AO72" s="159"/>
      <c r="AP72" s="1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59"/>
      <c r="FI72" s="59"/>
      <c r="FJ72" s="59"/>
      <c r="FK72" s="59"/>
      <c r="FL72" s="59"/>
    </row>
    <row r="73" spans="1:177" ht="15" customHeight="1" thickTop="1" x14ac:dyDescent="0.2">
      <c r="A73" s="61"/>
      <c r="B73" s="62"/>
      <c r="C73" s="62"/>
      <c r="D73" s="63"/>
      <c r="E73" s="63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286"/>
      <c r="Z73" s="286"/>
      <c r="AA73" s="286"/>
      <c r="AB73" s="286"/>
      <c r="AC73" s="286"/>
      <c r="AD73" s="286"/>
      <c r="AE73" s="286"/>
      <c r="AF73" s="64"/>
      <c r="AG73" s="62"/>
      <c r="AH73" s="65"/>
      <c r="AI73" s="154"/>
      <c r="AJ73" s="154"/>
      <c r="AK73" s="159"/>
      <c r="AL73" s="159"/>
      <c r="AM73" s="159"/>
      <c r="AN73" s="159"/>
      <c r="AO73" s="159"/>
      <c r="AP73" s="1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</row>
    <row r="74" spans="1:177" ht="15" customHeight="1" x14ac:dyDescent="0.2">
      <c r="A74" s="574" t="s">
        <v>167</v>
      </c>
      <c r="B74" s="574"/>
      <c r="C74" s="574"/>
      <c r="D74" s="574"/>
      <c r="E74" s="574"/>
      <c r="F74" s="574"/>
      <c r="G74" s="574"/>
      <c r="H74" s="574"/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4"/>
      <c r="T74" s="574"/>
      <c r="U74" s="574"/>
      <c r="V74" s="574"/>
      <c r="W74" s="574"/>
      <c r="X74" s="574"/>
      <c r="Y74" s="574"/>
      <c r="Z74" s="574"/>
      <c r="AA74" s="574"/>
      <c r="AB74" s="574"/>
      <c r="AC74" s="574"/>
      <c r="AD74" s="574"/>
      <c r="AE74" s="574"/>
      <c r="AF74" s="574"/>
      <c r="AG74" s="574"/>
      <c r="AH74" s="574"/>
    </row>
    <row r="75" spans="1:177" ht="15" customHeight="1" x14ac:dyDescent="0.25">
      <c r="A75" s="66"/>
      <c r="B75" s="66"/>
      <c r="C75" s="66"/>
      <c r="D75" s="67"/>
      <c r="E75" s="67"/>
      <c r="F75" s="68"/>
      <c r="G75" s="67"/>
      <c r="H75" s="69"/>
      <c r="I75" s="69"/>
      <c r="J75" s="69"/>
      <c r="K75" s="69"/>
      <c r="L75" s="70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7"/>
      <c r="Z75" s="67"/>
      <c r="AA75" s="67"/>
      <c r="AB75" s="67"/>
      <c r="AC75" s="67"/>
      <c r="AD75" s="67"/>
      <c r="AE75" s="67"/>
      <c r="AF75" s="71"/>
      <c r="AG75" s="72"/>
      <c r="AH75" s="73"/>
      <c r="AI75" s="154"/>
      <c r="AJ75" s="154"/>
      <c r="AK75" s="159"/>
      <c r="AL75" s="159"/>
      <c r="AM75" s="159"/>
      <c r="AN75" s="159"/>
      <c r="AO75" s="159"/>
      <c r="AP75" s="1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</row>
    <row r="76" spans="1:177" ht="15" customHeight="1" x14ac:dyDescent="0.2">
      <c r="A76" s="575" t="s">
        <v>79</v>
      </c>
      <c r="B76" s="103"/>
      <c r="C76" s="126"/>
      <c r="D76" s="126"/>
      <c r="E76" s="103"/>
      <c r="F76" s="103"/>
      <c r="G76" s="126"/>
      <c r="H76" s="127"/>
      <c r="I76" s="127"/>
      <c r="J76" s="126"/>
      <c r="K76" s="128"/>
      <c r="L76" s="128"/>
      <c r="M76" s="128"/>
      <c r="N76" s="127"/>
      <c r="O76" s="383"/>
      <c r="P76" s="447"/>
      <c r="Q76" s="452"/>
      <c r="R76" s="452"/>
      <c r="S76" s="510"/>
      <c r="T76" s="452"/>
      <c r="U76" s="396"/>
      <c r="V76" s="131"/>
      <c r="W76" s="130"/>
      <c r="X76" s="129"/>
      <c r="Y76" s="129"/>
      <c r="Z76" s="130"/>
      <c r="AA76" s="130"/>
      <c r="AB76" s="131"/>
      <c r="AC76" s="130"/>
      <c r="AD76" s="132"/>
      <c r="AE76" s="586" t="s">
        <v>117</v>
      </c>
      <c r="AF76" s="588" t="s">
        <v>118</v>
      </c>
      <c r="AG76" s="586" t="s">
        <v>119</v>
      </c>
      <c r="AH76" s="361" t="s">
        <v>0</v>
      </c>
      <c r="AI76" s="154"/>
      <c r="AJ76" s="154"/>
      <c r="AK76" s="159"/>
      <c r="AL76" s="159"/>
      <c r="AM76" s="159"/>
      <c r="AN76" s="159"/>
      <c r="AO76" s="159"/>
      <c r="AP76" s="1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  <c r="FT76" s="59"/>
      <c r="FU76" s="59"/>
    </row>
    <row r="77" spans="1:177" ht="15" customHeight="1" thickBot="1" x14ac:dyDescent="0.25">
      <c r="A77" s="576"/>
      <c r="B77" s="104" t="s">
        <v>97</v>
      </c>
      <c r="C77" s="105" t="s">
        <v>41</v>
      </c>
      <c r="D77" s="104" t="s">
        <v>51</v>
      </c>
      <c r="E77" s="105" t="s">
        <v>52</v>
      </c>
      <c r="F77" s="105" t="s">
        <v>53</v>
      </c>
      <c r="G77" s="104" t="s">
        <v>54</v>
      </c>
      <c r="H77" s="106" t="s">
        <v>55</v>
      </c>
      <c r="I77" s="107" t="s">
        <v>43</v>
      </c>
      <c r="J77" s="108" t="s">
        <v>44</v>
      </c>
      <c r="K77" s="108" t="s">
        <v>45</v>
      </c>
      <c r="L77" s="108" t="s">
        <v>46</v>
      </c>
      <c r="M77" s="108" t="s">
        <v>42</v>
      </c>
      <c r="N77" s="107" t="s">
        <v>56</v>
      </c>
      <c r="O77" s="384" t="s">
        <v>57</v>
      </c>
      <c r="P77" s="384" t="s">
        <v>60</v>
      </c>
      <c r="Q77" s="453" t="s">
        <v>63</v>
      </c>
      <c r="R77" s="453" t="s">
        <v>67</v>
      </c>
      <c r="S77" s="511" t="s">
        <v>68</v>
      </c>
      <c r="T77" s="543" t="s">
        <v>71</v>
      </c>
      <c r="U77" s="500" t="s">
        <v>72</v>
      </c>
      <c r="V77" s="24" t="s">
        <v>73</v>
      </c>
      <c r="W77" s="24" t="s">
        <v>74</v>
      </c>
      <c r="X77" s="109" t="s">
        <v>76</v>
      </c>
      <c r="Y77" s="109" t="s">
        <v>78</v>
      </c>
      <c r="Z77" s="24" t="s">
        <v>127</v>
      </c>
      <c r="AA77" s="24" t="s">
        <v>133</v>
      </c>
      <c r="AB77" s="24" t="s">
        <v>136</v>
      </c>
      <c r="AC77" s="24" t="s">
        <v>143</v>
      </c>
      <c r="AD77" s="110" t="s">
        <v>156</v>
      </c>
      <c r="AE77" s="587"/>
      <c r="AF77" s="589"/>
      <c r="AG77" s="587"/>
      <c r="AH77" s="362" t="s">
        <v>37</v>
      </c>
      <c r="AI77" s="154"/>
      <c r="AJ77" s="154"/>
      <c r="AK77" s="159"/>
      <c r="AL77" s="159"/>
      <c r="AM77" s="159"/>
      <c r="AN77" s="159"/>
      <c r="AO77" s="159"/>
      <c r="AP77" s="1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</row>
    <row r="78" spans="1:177" ht="15" customHeight="1" thickTop="1" x14ac:dyDescent="0.2">
      <c r="A78" s="74" t="s">
        <v>96</v>
      </c>
      <c r="B78" s="75"/>
      <c r="C78" s="75"/>
      <c r="D78" s="76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8"/>
      <c r="AA78" s="78"/>
      <c r="AB78" s="78"/>
      <c r="AC78" s="78"/>
      <c r="AD78" s="78"/>
      <c r="AE78" s="78"/>
      <c r="AF78" s="78"/>
      <c r="AG78" s="77"/>
      <c r="AH78" s="79"/>
      <c r="AI78" s="154"/>
      <c r="AJ78" s="154"/>
      <c r="AK78" s="159"/>
      <c r="AL78" s="159"/>
      <c r="AM78" s="159"/>
      <c r="AN78" s="159"/>
      <c r="AO78" s="159"/>
      <c r="AP78" s="1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/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9"/>
      <c r="FS78" s="59"/>
      <c r="FT78" s="59"/>
      <c r="FU78" s="59"/>
    </row>
    <row r="79" spans="1:177" ht="15" customHeight="1" x14ac:dyDescent="0.2">
      <c r="A79" s="80" t="s">
        <v>81</v>
      </c>
      <c r="B79" s="81"/>
      <c r="C79" s="81"/>
      <c r="D79" s="82"/>
      <c r="E79" s="82"/>
      <c r="F79" s="81"/>
      <c r="G79" s="83"/>
      <c r="H79" s="83"/>
      <c r="I79" s="83"/>
      <c r="J79" s="81"/>
      <c r="K79" s="81"/>
      <c r="L79" s="81"/>
      <c r="M79" s="81"/>
      <c r="N79" s="81"/>
      <c r="O79" s="81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5"/>
      <c r="AA79" s="85"/>
      <c r="AB79" s="85"/>
      <c r="AC79" s="85"/>
      <c r="AD79" s="85"/>
      <c r="AE79" s="85"/>
      <c r="AF79" s="85"/>
      <c r="AG79" s="86"/>
      <c r="AH79" s="87"/>
      <c r="AI79" s="154"/>
      <c r="AJ79" s="154"/>
      <c r="AK79" s="159"/>
      <c r="AL79" s="159"/>
      <c r="AM79" s="159"/>
      <c r="AN79" s="159"/>
      <c r="AO79" s="159"/>
      <c r="AP79" s="1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</row>
    <row r="80" spans="1:177" ht="15" customHeight="1" x14ac:dyDescent="0.2">
      <c r="A80" s="30" t="s">
        <v>82</v>
      </c>
      <c r="B80" s="88"/>
      <c r="C80" s="88"/>
      <c r="D80" s="89"/>
      <c r="E80" s="89"/>
      <c r="F80" s="88"/>
      <c r="G80" s="90"/>
      <c r="H80" s="90"/>
      <c r="I80" s="90"/>
      <c r="J80" s="88"/>
      <c r="K80" s="88"/>
      <c r="L80" s="88"/>
      <c r="M80" s="88"/>
      <c r="N80" s="88"/>
      <c r="O80" s="88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2"/>
      <c r="AA80" s="92"/>
      <c r="AB80" s="92"/>
      <c r="AC80" s="92"/>
      <c r="AD80" s="92"/>
      <c r="AE80" s="92"/>
      <c r="AF80" s="92"/>
      <c r="AG80" s="93"/>
      <c r="AH80" s="94"/>
      <c r="AI80" s="154"/>
      <c r="AJ80" s="154"/>
      <c r="AK80" s="159"/>
      <c r="AL80" s="159"/>
      <c r="AM80" s="159"/>
      <c r="AN80" s="159"/>
      <c r="AO80" s="159"/>
      <c r="AP80" s="1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</row>
    <row r="81" spans="1:177" ht="15" customHeight="1" x14ac:dyDescent="0.2">
      <c r="A81" s="31" t="s">
        <v>138</v>
      </c>
      <c r="B81" s="133"/>
      <c r="C81" s="133"/>
      <c r="D81" s="133"/>
      <c r="E81" s="133"/>
      <c r="F81" s="133"/>
      <c r="G81" s="206"/>
      <c r="H81" s="22"/>
      <c r="I81" s="22">
        <v>7</v>
      </c>
      <c r="J81" s="207">
        <v>5</v>
      </c>
      <c r="K81" s="207">
        <v>9</v>
      </c>
      <c r="L81" s="161">
        <v>4</v>
      </c>
      <c r="M81" s="207">
        <v>12</v>
      </c>
      <c r="N81" s="22">
        <v>8</v>
      </c>
      <c r="O81" s="385">
        <v>11</v>
      </c>
      <c r="P81" s="385">
        <v>7</v>
      </c>
      <c r="Q81" s="468">
        <v>20</v>
      </c>
      <c r="R81" s="468">
        <v>22</v>
      </c>
      <c r="S81" s="512">
        <v>14</v>
      </c>
      <c r="T81" s="468">
        <v>25</v>
      </c>
      <c r="U81" s="540">
        <v>24</v>
      </c>
      <c r="V81" s="160">
        <v>18</v>
      </c>
      <c r="W81" s="160">
        <v>27</v>
      </c>
      <c r="X81" s="177">
        <v>20</v>
      </c>
      <c r="Y81" s="177">
        <v>4</v>
      </c>
      <c r="Z81" s="160">
        <v>16</v>
      </c>
      <c r="AA81" s="160">
        <v>12</v>
      </c>
      <c r="AB81" s="160">
        <v>13</v>
      </c>
      <c r="AC81" s="160">
        <v>13</v>
      </c>
      <c r="AD81" s="208">
        <v>11</v>
      </c>
      <c r="AE81" s="187" t="str">
        <f t="shared" ref="AE81:AE83" si="38">IF(AD81=0," ",IF(AH81&gt;20,(AD81-AC81)/AC81," "))</f>
        <v xml:space="preserve"> </v>
      </c>
      <c r="AF81" s="306" t="str">
        <f t="shared" ref="AF81:AF83" si="39">IF(AD81=0," ",IF(AH81&gt;20,(AD81-Y81)/Y81," "))</f>
        <v xml:space="preserve"> </v>
      </c>
      <c r="AG81" s="307" t="str">
        <f t="shared" ref="AG81:AG83" si="40">IF(AD81=0," ",(IF(AH81&gt;20,(AD81-T81)/T81," ")))</f>
        <v xml:space="preserve"> </v>
      </c>
      <c r="AH81" s="363">
        <f t="shared" ref="AH81:AH83" si="41">IF(AB81&gt;0,AVERAGE(AB81:AD81),"  ")</f>
        <v>12.333333333333334</v>
      </c>
      <c r="AI81" s="154"/>
      <c r="AJ81" s="154"/>
      <c r="AK81" s="159"/>
      <c r="AL81" s="159"/>
      <c r="AM81" s="159"/>
      <c r="AN81" s="159"/>
      <c r="AO81" s="159"/>
      <c r="AP81" s="1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  <c r="FL81" s="59"/>
      <c r="FM81" s="59"/>
    </row>
    <row r="82" spans="1:177" ht="15" customHeight="1" x14ac:dyDescent="0.2">
      <c r="A82" s="31" t="s">
        <v>98</v>
      </c>
      <c r="B82" s="133"/>
      <c r="C82" s="133"/>
      <c r="D82" s="133"/>
      <c r="E82" s="133"/>
      <c r="F82" s="133"/>
      <c r="G82" s="206"/>
      <c r="H82" s="22"/>
      <c r="I82" s="22"/>
      <c r="J82" s="207"/>
      <c r="K82" s="207"/>
      <c r="L82" s="207"/>
      <c r="M82" s="207"/>
      <c r="N82" s="22"/>
      <c r="O82" s="386"/>
      <c r="P82" s="386"/>
      <c r="Q82" s="469"/>
      <c r="R82" s="469">
        <v>0</v>
      </c>
      <c r="S82" s="504"/>
      <c r="T82" s="469">
        <v>0</v>
      </c>
      <c r="U82" s="164"/>
      <c r="V82" s="161"/>
      <c r="W82" s="161"/>
      <c r="X82" s="22"/>
      <c r="Y82" s="22">
        <v>3</v>
      </c>
      <c r="Z82" s="161">
        <v>3</v>
      </c>
      <c r="AA82" s="161">
        <v>9</v>
      </c>
      <c r="AB82" s="161">
        <v>2</v>
      </c>
      <c r="AC82" s="161">
        <v>6</v>
      </c>
      <c r="AD82" s="444">
        <v>0</v>
      </c>
      <c r="AE82" s="136" t="str">
        <f t="shared" si="38"/>
        <v xml:space="preserve"> </v>
      </c>
      <c r="AF82" s="302" t="str">
        <f t="shared" si="39"/>
        <v xml:space="preserve"> </v>
      </c>
      <c r="AG82" s="303" t="str">
        <f t="shared" si="40"/>
        <v xml:space="preserve"> </v>
      </c>
      <c r="AH82" s="211">
        <f t="shared" si="41"/>
        <v>2.6666666666666665</v>
      </c>
      <c r="AI82" s="154"/>
      <c r="AJ82" s="154"/>
      <c r="AK82" s="159"/>
      <c r="AL82" s="159"/>
      <c r="AM82" s="159"/>
      <c r="AN82" s="159"/>
      <c r="AO82" s="159"/>
      <c r="AP82" s="1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</row>
    <row r="83" spans="1:177" ht="15" customHeight="1" x14ac:dyDescent="0.2">
      <c r="A83" s="215" t="s">
        <v>83</v>
      </c>
      <c r="B83" s="216">
        <f>+B82+B81</f>
        <v>0</v>
      </c>
      <c r="C83" s="216">
        <f t="shared" ref="C83:AD83" si="42">+C82+C81</f>
        <v>0</v>
      </c>
      <c r="D83" s="216">
        <f t="shared" si="42"/>
        <v>0</v>
      </c>
      <c r="E83" s="216">
        <f t="shared" si="42"/>
        <v>0</v>
      </c>
      <c r="F83" s="216">
        <f t="shared" si="42"/>
        <v>0</v>
      </c>
      <c r="G83" s="216">
        <f t="shared" si="42"/>
        <v>0</v>
      </c>
      <c r="H83" s="216">
        <f t="shared" si="42"/>
        <v>0</v>
      </c>
      <c r="I83" s="216">
        <f t="shared" si="42"/>
        <v>7</v>
      </c>
      <c r="J83" s="216">
        <f t="shared" si="42"/>
        <v>5</v>
      </c>
      <c r="K83" s="216">
        <f t="shared" si="42"/>
        <v>9</v>
      </c>
      <c r="L83" s="216">
        <f t="shared" si="42"/>
        <v>4</v>
      </c>
      <c r="M83" s="216">
        <f t="shared" si="42"/>
        <v>12</v>
      </c>
      <c r="N83" s="216">
        <f t="shared" si="42"/>
        <v>8</v>
      </c>
      <c r="O83" s="410">
        <f t="shared" si="42"/>
        <v>11</v>
      </c>
      <c r="P83" s="410">
        <f t="shared" si="42"/>
        <v>7</v>
      </c>
      <c r="Q83" s="470">
        <f t="shared" si="42"/>
        <v>20</v>
      </c>
      <c r="R83" s="470">
        <f t="shared" si="42"/>
        <v>22</v>
      </c>
      <c r="S83" s="470">
        <f t="shared" si="42"/>
        <v>14</v>
      </c>
      <c r="T83" s="470">
        <f t="shared" si="42"/>
        <v>25</v>
      </c>
      <c r="U83" s="292">
        <f t="shared" si="42"/>
        <v>24</v>
      </c>
      <c r="V83" s="216">
        <f t="shared" si="42"/>
        <v>18</v>
      </c>
      <c r="W83" s="216">
        <f t="shared" si="42"/>
        <v>27</v>
      </c>
      <c r="X83" s="216">
        <f t="shared" si="42"/>
        <v>20</v>
      </c>
      <c r="Y83" s="216">
        <f t="shared" si="42"/>
        <v>7</v>
      </c>
      <c r="Z83" s="216">
        <f t="shared" ref="Z83:AC83" si="43">+Z82+Z81</f>
        <v>19</v>
      </c>
      <c r="AA83" s="216">
        <f t="shared" si="43"/>
        <v>21</v>
      </c>
      <c r="AB83" s="216">
        <f t="shared" si="43"/>
        <v>15</v>
      </c>
      <c r="AC83" s="216">
        <f t="shared" si="43"/>
        <v>19</v>
      </c>
      <c r="AD83" s="238">
        <f t="shared" si="42"/>
        <v>11</v>
      </c>
      <c r="AE83" s="445" t="str">
        <f t="shared" si="38"/>
        <v xml:space="preserve"> </v>
      </c>
      <c r="AF83" s="445" t="str">
        <f t="shared" si="39"/>
        <v xml:space="preserve"> </v>
      </c>
      <c r="AG83" s="446" t="str">
        <f t="shared" si="40"/>
        <v xml:space="preserve"> </v>
      </c>
      <c r="AH83" s="216">
        <f t="shared" si="41"/>
        <v>15</v>
      </c>
      <c r="AI83" s="154"/>
      <c r="AJ83" s="154"/>
      <c r="AK83" s="159"/>
      <c r="AL83" s="159"/>
      <c r="AM83" s="159"/>
      <c r="AN83" s="159"/>
      <c r="AO83" s="159"/>
      <c r="AP83" s="1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</row>
    <row r="84" spans="1:177" ht="15" customHeight="1" x14ac:dyDescent="0.2">
      <c r="A84" s="583" t="s">
        <v>84</v>
      </c>
      <c r="B84" s="584"/>
      <c r="C84" s="584"/>
      <c r="D84" s="584"/>
      <c r="E84" s="584"/>
      <c r="F84" s="584"/>
      <c r="G84" s="584"/>
      <c r="H84" s="584"/>
      <c r="I84" s="584"/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5"/>
      <c r="AI84" s="154"/>
      <c r="AJ84" s="154"/>
      <c r="AK84" s="159"/>
      <c r="AL84" s="159"/>
      <c r="AM84" s="159"/>
      <c r="AN84" s="159"/>
      <c r="AO84" s="159"/>
      <c r="AP84" s="1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59"/>
      <c r="FG84" s="59"/>
      <c r="FH84" s="59"/>
      <c r="FI84" s="59"/>
      <c r="FJ84" s="59"/>
      <c r="FK84" s="59"/>
      <c r="FL84" s="59"/>
      <c r="FM84" s="59"/>
    </row>
    <row r="85" spans="1:177" s="101" customFormat="1" ht="15" customHeight="1" x14ac:dyDescent="0.2">
      <c r="A85" s="100" t="s">
        <v>110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80"/>
      <c r="N85" s="380"/>
      <c r="O85" s="408"/>
      <c r="P85" s="448"/>
      <c r="Q85" s="471"/>
      <c r="R85" s="471">
        <v>0</v>
      </c>
      <c r="S85" s="471"/>
      <c r="T85" s="471">
        <v>0</v>
      </c>
      <c r="U85" s="381">
        <v>5</v>
      </c>
      <c r="V85" s="380">
        <v>0</v>
      </c>
      <c r="W85" s="380">
        <v>0</v>
      </c>
      <c r="X85" s="382">
        <v>0</v>
      </c>
      <c r="Y85" s="382">
        <v>7</v>
      </c>
      <c r="Z85" s="380">
        <v>0</v>
      </c>
      <c r="AA85" s="380">
        <v>0</v>
      </c>
      <c r="AB85" s="380">
        <v>0</v>
      </c>
      <c r="AC85" s="380">
        <v>0</v>
      </c>
      <c r="AD85" s="375">
        <v>0</v>
      </c>
      <c r="AE85" s="136" t="str">
        <f t="shared" ref="AE85:AE90" si="44">IF(AD85=0," ",IF(AH85&gt;20,(AD85-AC85)/AC85," "))</f>
        <v xml:space="preserve"> </v>
      </c>
      <c r="AF85" s="302" t="str">
        <f t="shared" ref="AF85:AF90" si="45">IF(AD85=0," ",IF(AH85&gt;20,(AD85-Y85)/Y85," "))</f>
        <v xml:space="preserve"> </v>
      </c>
      <c r="AG85" s="303" t="str">
        <f t="shared" ref="AG85:AG90" si="46">IF(AD85=0," ",(IF(AH85&gt;20,(AD85-T85)/T85," ")))</f>
        <v xml:space="preserve"> </v>
      </c>
      <c r="AH85" s="211" t="str">
        <f t="shared" ref="AH85:AH90" si="47">IF(AB85&gt;0,AVERAGE(AB85:AD85),"  ")</f>
        <v xml:space="preserve">  </v>
      </c>
      <c r="AI85" s="162"/>
      <c r="AJ85" s="162"/>
      <c r="AK85" s="162"/>
      <c r="AL85" s="162"/>
      <c r="AM85" s="162"/>
      <c r="AN85" s="162"/>
      <c r="AO85" s="162"/>
      <c r="AP85" s="162"/>
    </row>
    <row r="86" spans="1:177" ht="15" customHeight="1" x14ac:dyDescent="0.2">
      <c r="A86" s="31" t="s">
        <v>99</v>
      </c>
      <c r="B86" s="133">
        <v>10</v>
      </c>
      <c r="C86" s="209">
        <v>5</v>
      </c>
      <c r="D86" s="133">
        <v>10</v>
      </c>
      <c r="E86" s="133">
        <v>7</v>
      </c>
      <c r="F86" s="133">
        <v>11</v>
      </c>
      <c r="G86" s="133">
        <v>13</v>
      </c>
      <c r="H86" s="22">
        <v>8</v>
      </c>
      <c r="I86" s="22">
        <v>5</v>
      </c>
      <c r="J86" s="134">
        <v>6</v>
      </c>
      <c r="K86" s="133">
        <f>1+5</f>
        <v>6</v>
      </c>
      <c r="L86" s="133">
        <v>7</v>
      </c>
      <c r="M86" s="133">
        <v>7</v>
      </c>
      <c r="N86" s="22">
        <v>2</v>
      </c>
      <c r="O86" s="386">
        <v>8</v>
      </c>
      <c r="P86" s="386">
        <v>4</v>
      </c>
      <c r="Q86" s="454">
        <v>4</v>
      </c>
      <c r="R86" s="454">
        <v>14</v>
      </c>
      <c r="S86" s="504">
        <v>8</v>
      </c>
      <c r="T86" s="454">
        <v>17</v>
      </c>
      <c r="U86" s="397">
        <v>6</v>
      </c>
      <c r="V86" s="134">
        <v>6</v>
      </c>
      <c r="W86" s="134">
        <v>3</v>
      </c>
      <c r="X86" s="22">
        <v>1</v>
      </c>
      <c r="Y86" s="22">
        <v>2</v>
      </c>
      <c r="Z86" s="134">
        <v>0</v>
      </c>
      <c r="AA86" s="134">
        <v>0</v>
      </c>
      <c r="AB86" s="134">
        <v>1</v>
      </c>
      <c r="AC86" s="134">
        <v>0</v>
      </c>
      <c r="AD86" s="135">
        <v>2</v>
      </c>
      <c r="AE86" s="136" t="str">
        <f t="shared" si="44"/>
        <v xml:space="preserve"> </v>
      </c>
      <c r="AF86" s="302" t="str">
        <f t="shared" si="45"/>
        <v xml:space="preserve"> </v>
      </c>
      <c r="AG86" s="303" t="str">
        <f t="shared" si="46"/>
        <v xml:space="preserve"> </v>
      </c>
      <c r="AH86" s="211">
        <f t="shared" si="47"/>
        <v>1</v>
      </c>
      <c r="AI86" s="154"/>
      <c r="AJ86" s="154"/>
      <c r="AK86" s="159"/>
      <c r="AL86" s="159"/>
      <c r="AM86" s="159"/>
      <c r="AN86" s="159"/>
      <c r="AO86" s="159"/>
      <c r="AP86" s="1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</row>
    <row r="87" spans="1:177" ht="15" customHeight="1" x14ac:dyDescent="0.2">
      <c r="A87" s="31" t="s">
        <v>100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161"/>
      <c r="N87" s="161"/>
      <c r="O87" s="409"/>
      <c r="P87" s="409"/>
      <c r="Q87" s="469"/>
      <c r="R87" s="469">
        <v>0</v>
      </c>
      <c r="S87" s="469"/>
      <c r="T87" s="469">
        <v>0</v>
      </c>
      <c r="U87" s="164"/>
      <c r="V87" s="161">
        <v>8</v>
      </c>
      <c r="W87" s="161">
        <v>0</v>
      </c>
      <c r="X87" s="22">
        <v>1</v>
      </c>
      <c r="Y87" s="22">
        <v>7</v>
      </c>
      <c r="Z87" s="161">
        <v>7</v>
      </c>
      <c r="AA87" s="161">
        <v>9</v>
      </c>
      <c r="AB87" s="161">
        <v>5</v>
      </c>
      <c r="AC87" s="161">
        <v>14</v>
      </c>
      <c r="AD87" s="213">
        <v>8</v>
      </c>
      <c r="AE87" s="346" t="str">
        <f t="shared" si="44"/>
        <v xml:space="preserve"> </v>
      </c>
      <c r="AF87" s="347" t="str">
        <f t="shared" si="45"/>
        <v xml:space="preserve"> </v>
      </c>
      <c r="AG87" s="348" t="str">
        <f t="shared" si="46"/>
        <v xml:space="preserve"> </v>
      </c>
      <c r="AH87" s="364">
        <f t="shared" si="47"/>
        <v>9</v>
      </c>
      <c r="AI87" s="154"/>
      <c r="AJ87" s="154"/>
      <c r="AK87" s="159"/>
      <c r="AL87" s="159"/>
      <c r="AM87" s="159"/>
      <c r="AN87" s="159"/>
      <c r="AO87" s="159"/>
      <c r="AP87" s="1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9"/>
      <c r="FF87" s="59"/>
      <c r="FG87" s="59"/>
      <c r="FH87" s="59"/>
      <c r="FI87" s="59"/>
      <c r="FJ87" s="59"/>
      <c r="FK87" s="59"/>
      <c r="FL87" s="59"/>
      <c r="FM87" s="59"/>
    </row>
    <row r="88" spans="1:177" ht="15" customHeight="1" x14ac:dyDescent="0.2">
      <c r="A88" s="215" t="s">
        <v>101</v>
      </c>
      <c r="B88" s="216">
        <f>+B87+B86+B85</f>
        <v>10</v>
      </c>
      <c r="C88" s="216">
        <f t="shared" ref="C88:AD88" si="48">+C87+C86+C85</f>
        <v>5</v>
      </c>
      <c r="D88" s="216">
        <f t="shared" si="48"/>
        <v>10</v>
      </c>
      <c r="E88" s="216">
        <f t="shared" si="48"/>
        <v>7</v>
      </c>
      <c r="F88" s="216">
        <f t="shared" si="48"/>
        <v>11</v>
      </c>
      <c r="G88" s="216">
        <f t="shared" si="48"/>
        <v>13</v>
      </c>
      <c r="H88" s="216">
        <f t="shared" si="48"/>
        <v>8</v>
      </c>
      <c r="I88" s="216">
        <f t="shared" si="48"/>
        <v>5</v>
      </c>
      <c r="J88" s="216">
        <f t="shared" si="48"/>
        <v>6</v>
      </c>
      <c r="K88" s="216">
        <f t="shared" si="48"/>
        <v>6</v>
      </c>
      <c r="L88" s="216">
        <f t="shared" si="48"/>
        <v>7</v>
      </c>
      <c r="M88" s="216">
        <f t="shared" si="48"/>
        <v>7</v>
      </c>
      <c r="N88" s="216">
        <f t="shared" si="48"/>
        <v>2</v>
      </c>
      <c r="O88" s="410">
        <f t="shared" si="48"/>
        <v>8</v>
      </c>
      <c r="P88" s="410">
        <f t="shared" si="48"/>
        <v>4</v>
      </c>
      <c r="Q88" s="470">
        <f t="shared" si="48"/>
        <v>4</v>
      </c>
      <c r="R88" s="470">
        <f t="shared" si="48"/>
        <v>14</v>
      </c>
      <c r="S88" s="470">
        <f t="shared" si="48"/>
        <v>8</v>
      </c>
      <c r="T88" s="470">
        <f t="shared" si="48"/>
        <v>17</v>
      </c>
      <c r="U88" s="292">
        <f t="shared" si="48"/>
        <v>11</v>
      </c>
      <c r="V88" s="216">
        <f t="shared" si="48"/>
        <v>14</v>
      </c>
      <c r="W88" s="216">
        <f t="shared" si="48"/>
        <v>3</v>
      </c>
      <c r="X88" s="216">
        <f t="shared" si="48"/>
        <v>2</v>
      </c>
      <c r="Y88" s="216">
        <f t="shared" si="48"/>
        <v>16</v>
      </c>
      <c r="Z88" s="216">
        <f t="shared" ref="Z88:AC88" si="49">+Z87+Z86+Z85</f>
        <v>7</v>
      </c>
      <c r="AA88" s="216">
        <f t="shared" si="49"/>
        <v>9</v>
      </c>
      <c r="AB88" s="216">
        <f t="shared" si="49"/>
        <v>6</v>
      </c>
      <c r="AC88" s="216">
        <f t="shared" si="49"/>
        <v>14</v>
      </c>
      <c r="AD88" s="238">
        <f t="shared" si="48"/>
        <v>10</v>
      </c>
      <c r="AE88" s="353" t="str">
        <f t="shared" si="44"/>
        <v xml:space="preserve"> </v>
      </c>
      <c r="AF88" s="353" t="str">
        <f t="shared" si="45"/>
        <v xml:space="preserve"> </v>
      </c>
      <c r="AG88" s="353" t="str">
        <f t="shared" si="46"/>
        <v xml:space="preserve"> </v>
      </c>
      <c r="AH88" s="238">
        <f t="shared" si="47"/>
        <v>10</v>
      </c>
      <c r="AI88" s="154"/>
      <c r="AJ88" s="154"/>
      <c r="AK88" s="159"/>
      <c r="AL88" s="159"/>
      <c r="AM88" s="159"/>
      <c r="AN88" s="159"/>
      <c r="AO88" s="159"/>
      <c r="AP88" s="1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9"/>
      <c r="FF88" s="59"/>
      <c r="FG88" s="59"/>
      <c r="FH88" s="59"/>
      <c r="FI88" s="59"/>
      <c r="FJ88" s="59"/>
      <c r="FK88" s="59"/>
      <c r="FL88" s="59"/>
      <c r="FM88" s="59"/>
    </row>
    <row r="89" spans="1:177" ht="15" customHeight="1" x14ac:dyDescent="0.2">
      <c r="A89" s="163" t="s">
        <v>102</v>
      </c>
      <c r="B89" s="201">
        <v>0</v>
      </c>
      <c r="C89" s="201">
        <v>0</v>
      </c>
      <c r="D89" s="201">
        <v>4</v>
      </c>
      <c r="E89" s="201">
        <v>0</v>
      </c>
      <c r="F89" s="201">
        <v>0</v>
      </c>
      <c r="G89" s="201">
        <v>0</v>
      </c>
      <c r="H89" s="202">
        <v>0</v>
      </c>
      <c r="I89" s="202">
        <v>0</v>
      </c>
      <c r="J89" s="201">
        <v>19</v>
      </c>
      <c r="K89" s="201">
        <v>29</v>
      </c>
      <c r="L89" s="201">
        <v>31</v>
      </c>
      <c r="M89" s="201">
        <v>45</v>
      </c>
      <c r="N89" s="202">
        <v>27</v>
      </c>
      <c r="O89" s="389">
        <v>39</v>
      </c>
      <c r="P89" s="389">
        <v>46</v>
      </c>
      <c r="Q89" s="457">
        <v>62</v>
      </c>
      <c r="R89" s="457">
        <v>54</v>
      </c>
      <c r="S89" s="506">
        <v>72</v>
      </c>
      <c r="T89" s="457">
        <v>73</v>
      </c>
      <c r="U89" s="399">
        <v>79</v>
      </c>
      <c r="V89" s="201">
        <v>71</v>
      </c>
      <c r="W89" s="201">
        <v>119</v>
      </c>
      <c r="X89" s="202">
        <v>126</v>
      </c>
      <c r="Y89" s="202">
        <v>160</v>
      </c>
      <c r="Z89" s="201">
        <v>169</v>
      </c>
      <c r="AA89" s="201">
        <v>176</v>
      </c>
      <c r="AB89" s="201">
        <v>192</v>
      </c>
      <c r="AC89" s="201">
        <v>196</v>
      </c>
      <c r="AD89" s="262">
        <v>171</v>
      </c>
      <c r="AE89" s="354">
        <f t="shared" si="44"/>
        <v>-0.12755102040816327</v>
      </c>
      <c r="AF89" s="354">
        <f t="shared" si="45"/>
        <v>6.8750000000000006E-2</v>
      </c>
      <c r="AG89" s="354">
        <f t="shared" si="46"/>
        <v>1.3424657534246576</v>
      </c>
      <c r="AH89" s="262">
        <f t="shared" si="47"/>
        <v>186.33333333333334</v>
      </c>
      <c r="AI89" s="154"/>
      <c r="AJ89" s="154"/>
      <c r="AK89" s="159"/>
      <c r="AL89" s="159"/>
      <c r="AM89" s="159"/>
      <c r="AN89" s="159"/>
      <c r="AO89" s="159"/>
      <c r="AP89" s="1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  <c r="FG89" s="59"/>
      <c r="FH89" s="59"/>
      <c r="FI89" s="59"/>
      <c r="FJ89" s="59"/>
      <c r="FK89" s="59"/>
      <c r="FL89" s="59"/>
      <c r="FM89" s="59"/>
    </row>
    <row r="90" spans="1:177" ht="15" customHeight="1" thickBot="1" x14ac:dyDescent="0.25">
      <c r="A90" s="214" t="s">
        <v>86</v>
      </c>
      <c r="B90" s="219">
        <f>+B89+B88+B83</f>
        <v>10</v>
      </c>
      <c r="C90" s="219">
        <f t="shared" ref="C90:AD90" si="50">+C89+C88+C83</f>
        <v>5</v>
      </c>
      <c r="D90" s="219">
        <f t="shared" si="50"/>
        <v>14</v>
      </c>
      <c r="E90" s="219">
        <f t="shared" si="50"/>
        <v>7</v>
      </c>
      <c r="F90" s="219">
        <f t="shared" si="50"/>
        <v>11</v>
      </c>
      <c r="G90" s="219">
        <f t="shared" si="50"/>
        <v>13</v>
      </c>
      <c r="H90" s="219">
        <f t="shared" si="50"/>
        <v>8</v>
      </c>
      <c r="I90" s="219">
        <f t="shared" si="50"/>
        <v>12</v>
      </c>
      <c r="J90" s="219">
        <f t="shared" si="50"/>
        <v>30</v>
      </c>
      <c r="K90" s="219">
        <f t="shared" si="50"/>
        <v>44</v>
      </c>
      <c r="L90" s="219">
        <f t="shared" si="50"/>
        <v>42</v>
      </c>
      <c r="M90" s="219">
        <f t="shared" si="50"/>
        <v>64</v>
      </c>
      <c r="N90" s="219">
        <f t="shared" si="50"/>
        <v>37</v>
      </c>
      <c r="O90" s="411">
        <f t="shared" si="50"/>
        <v>58</v>
      </c>
      <c r="P90" s="449">
        <f t="shared" si="50"/>
        <v>57</v>
      </c>
      <c r="Q90" s="472">
        <f t="shared" si="50"/>
        <v>86</v>
      </c>
      <c r="R90" s="472">
        <f t="shared" si="50"/>
        <v>90</v>
      </c>
      <c r="S90" s="472">
        <f t="shared" si="50"/>
        <v>94</v>
      </c>
      <c r="T90" s="472">
        <f t="shared" si="50"/>
        <v>115</v>
      </c>
      <c r="U90" s="293">
        <f t="shared" si="50"/>
        <v>114</v>
      </c>
      <c r="V90" s="219">
        <f t="shared" si="50"/>
        <v>103</v>
      </c>
      <c r="W90" s="219">
        <f t="shared" si="50"/>
        <v>149</v>
      </c>
      <c r="X90" s="219">
        <f t="shared" si="50"/>
        <v>148</v>
      </c>
      <c r="Y90" s="219">
        <f t="shared" si="50"/>
        <v>183</v>
      </c>
      <c r="Z90" s="219">
        <f t="shared" ref="Z90:AC90" si="51">+Z89+Z88+Z83</f>
        <v>195</v>
      </c>
      <c r="AA90" s="219">
        <f t="shared" si="51"/>
        <v>206</v>
      </c>
      <c r="AB90" s="219">
        <f t="shared" si="51"/>
        <v>213</v>
      </c>
      <c r="AC90" s="219">
        <f t="shared" si="51"/>
        <v>229</v>
      </c>
      <c r="AD90" s="219">
        <f t="shared" si="50"/>
        <v>192</v>
      </c>
      <c r="AE90" s="355">
        <f t="shared" si="44"/>
        <v>-0.16157205240174671</v>
      </c>
      <c r="AF90" s="355">
        <f t="shared" si="45"/>
        <v>4.9180327868852458E-2</v>
      </c>
      <c r="AG90" s="355">
        <f t="shared" si="46"/>
        <v>0.66956521739130437</v>
      </c>
      <c r="AH90" s="219">
        <f t="shared" si="47"/>
        <v>211.33333333333334</v>
      </c>
      <c r="AI90" s="154"/>
      <c r="AJ90" s="154"/>
      <c r="AK90" s="159"/>
      <c r="AL90" s="159"/>
      <c r="AM90" s="159"/>
      <c r="AN90" s="159"/>
      <c r="AO90" s="159"/>
      <c r="AP90" s="1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  <c r="FG90" s="59"/>
      <c r="FH90" s="59"/>
      <c r="FI90" s="59"/>
      <c r="FJ90" s="59"/>
      <c r="FK90" s="59"/>
      <c r="FL90" s="59"/>
      <c r="FM90" s="59"/>
    </row>
    <row r="91" spans="1:177" ht="15" customHeight="1" thickTop="1" x14ac:dyDescent="0.2">
      <c r="A91" s="33" t="s">
        <v>87</v>
      </c>
      <c r="B91" s="34"/>
      <c r="C91" s="34"/>
      <c r="D91" s="34"/>
      <c r="E91" s="35"/>
      <c r="F91" s="35"/>
      <c r="G91" s="36"/>
      <c r="H91" s="36"/>
      <c r="I91" s="36"/>
      <c r="J91" s="36"/>
      <c r="K91" s="35"/>
      <c r="L91" s="35"/>
      <c r="M91" s="35"/>
      <c r="N91" s="35"/>
      <c r="O91" s="37"/>
      <c r="P91" s="37"/>
      <c r="Q91" s="37"/>
      <c r="R91" s="37"/>
      <c r="S91" s="37"/>
      <c r="T91" s="38"/>
      <c r="U91" s="38"/>
      <c r="V91" s="38"/>
      <c r="W91" s="38"/>
      <c r="X91" s="38"/>
      <c r="Y91" s="38"/>
      <c r="Z91" s="39"/>
      <c r="AA91" s="39"/>
      <c r="AB91" s="39"/>
      <c r="AC91" s="39"/>
      <c r="AD91" s="39"/>
      <c r="AE91" s="351"/>
      <c r="AF91" s="352"/>
      <c r="AG91" s="351"/>
      <c r="AH91" s="40"/>
      <c r="AI91" s="154"/>
      <c r="AJ91" s="154"/>
      <c r="AK91" s="159"/>
      <c r="AL91" s="159"/>
      <c r="AM91" s="159"/>
      <c r="AN91" s="159"/>
      <c r="AO91" s="159"/>
      <c r="AP91" s="1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9"/>
      <c r="FS91" s="59"/>
      <c r="FT91" s="59"/>
      <c r="FU91" s="59"/>
    </row>
    <row r="92" spans="1:177" ht="15" customHeight="1" x14ac:dyDescent="0.2">
      <c r="A92" s="96" t="s">
        <v>142</v>
      </c>
      <c r="B92" s="267"/>
      <c r="C92" s="275"/>
      <c r="D92" s="275"/>
      <c r="E92" s="275"/>
      <c r="F92" s="275"/>
      <c r="G92" s="275"/>
      <c r="H92" s="276">
        <v>0</v>
      </c>
      <c r="I92" s="276"/>
      <c r="J92" s="277"/>
      <c r="K92" s="275"/>
      <c r="L92" s="275">
        <v>0</v>
      </c>
      <c r="M92" s="275"/>
      <c r="N92" s="276">
        <v>0</v>
      </c>
      <c r="O92" s="412">
        <v>0</v>
      </c>
      <c r="P92" s="450">
        <v>0</v>
      </c>
      <c r="Q92" s="473">
        <v>0</v>
      </c>
      <c r="R92" s="473">
        <v>15</v>
      </c>
      <c r="S92" s="513">
        <v>15</v>
      </c>
      <c r="T92" s="473">
        <v>12</v>
      </c>
      <c r="U92" s="541">
        <v>13</v>
      </c>
      <c r="V92" s="270">
        <v>19</v>
      </c>
      <c r="W92" s="269">
        <v>18</v>
      </c>
      <c r="X92" s="268">
        <v>18</v>
      </c>
      <c r="Y92" s="268">
        <v>18</v>
      </c>
      <c r="Z92" s="443">
        <v>19</v>
      </c>
      <c r="AA92" s="443">
        <v>10</v>
      </c>
      <c r="AB92" s="443">
        <v>21</v>
      </c>
      <c r="AC92" s="443">
        <v>10</v>
      </c>
      <c r="AD92" s="147">
        <v>6</v>
      </c>
      <c r="AE92" s="340" t="str">
        <f t="shared" ref="AE92:AE96" si="52">IF(AD92=0," ",IF(AH92&gt;20,(AD92-AC92)/AC92," "))</f>
        <v xml:space="preserve"> </v>
      </c>
      <c r="AF92" s="341" t="str">
        <f t="shared" ref="AF92:AF96" si="53">IF(AD92=0," ",IF(AH92&gt;20,(AD92-Y92)/Y92," "))</f>
        <v xml:space="preserve"> </v>
      </c>
      <c r="AG92" s="342" t="str">
        <f t="shared" ref="AG92:AG96" si="54">IF(AD92=0," ",(IF(AH92&gt;20,(AD92-T92)/T92," ")))</f>
        <v xml:space="preserve"> </v>
      </c>
      <c r="AH92" s="363">
        <f t="shared" ref="AH92:AH96" si="55">IF(AB92&gt;0,AVERAGE(AB92:AD92),"  ")</f>
        <v>12.333333333333334</v>
      </c>
      <c r="AI92" s="154"/>
      <c r="AJ92" s="154"/>
      <c r="AK92" s="159"/>
      <c r="AL92" s="159"/>
      <c r="AM92" s="159"/>
      <c r="AN92" s="159"/>
      <c r="AO92" s="159"/>
      <c r="AP92" s="1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  <c r="FE92" s="59"/>
      <c r="FF92" s="59"/>
      <c r="FG92" s="59"/>
      <c r="FH92" s="59"/>
      <c r="FI92" s="59"/>
      <c r="FJ92" s="59"/>
      <c r="FK92" s="59"/>
      <c r="FL92" s="59"/>
      <c r="FM92" s="59"/>
    </row>
    <row r="93" spans="1:177" ht="15" customHeight="1" x14ac:dyDescent="0.2">
      <c r="A93" s="97" t="s">
        <v>103</v>
      </c>
      <c r="B93" s="271"/>
      <c r="C93" s="278"/>
      <c r="D93" s="278"/>
      <c r="E93" s="278"/>
      <c r="F93" s="278">
        <v>0</v>
      </c>
      <c r="G93" s="278">
        <v>0</v>
      </c>
      <c r="H93" s="278"/>
      <c r="I93" s="278"/>
      <c r="J93" s="278"/>
      <c r="K93" s="278">
        <v>0</v>
      </c>
      <c r="L93" s="278">
        <v>0</v>
      </c>
      <c r="M93" s="279">
        <v>0</v>
      </c>
      <c r="N93" s="279">
        <v>0</v>
      </c>
      <c r="O93" s="413">
        <v>0</v>
      </c>
      <c r="P93" s="272">
        <v>8</v>
      </c>
      <c r="Q93" s="474">
        <v>7</v>
      </c>
      <c r="R93" s="474">
        <f>5+3</f>
        <v>8</v>
      </c>
      <c r="S93" s="474">
        <f>6+2</f>
        <v>8</v>
      </c>
      <c r="T93" s="474">
        <v>16</v>
      </c>
      <c r="U93" s="542">
        <f>6+2</f>
        <v>8</v>
      </c>
      <c r="V93" s="273">
        <v>8</v>
      </c>
      <c r="W93" s="272">
        <v>1</v>
      </c>
      <c r="X93" s="268">
        <v>5</v>
      </c>
      <c r="Y93" s="268">
        <v>14</v>
      </c>
      <c r="Z93" s="409">
        <v>10</v>
      </c>
      <c r="AA93" s="409">
        <v>10</v>
      </c>
      <c r="AB93" s="409">
        <v>3</v>
      </c>
      <c r="AC93" s="409">
        <v>11</v>
      </c>
      <c r="AD93" s="165">
        <v>0</v>
      </c>
      <c r="AE93" s="343" t="str">
        <f t="shared" si="52"/>
        <v xml:space="preserve"> </v>
      </c>
      <c r="AF93" s="344" t="str">
        <f t="shared" si="53"/>
        <v xml:space="preserve"> </v>
      </c>
      <c r="AG93" s="345" t="str">
        <f t="shared" si="54"/>
        <v xml:space="preserve"> </v>
      </c>
      <c r="AH93" s="211">
        <f t="shared" si="55"/>
        <v>4.666666666666667</v>
      </c>
      <c r="AI93" s="154"/>
      <c r="AJ93" s="154"/>
      <c r="AK93" s="159"/>
      <c r="AL93" s="159"/>
      <c r="AM93" s="159"/>
      <c r="AN93" s="159"/>
      <c r="AO93" s="159"/>
      <c r="AP93" s="1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  <c r="FL93" s="59"/>
      <c r="FM93" s="59"/>
    </row>
    <row r="94" spans="1:177" ht="15" customHeight="1" x14ac:dyDescent="0.2">
      <c r="A94" s="95" t="s">
        <v>104</v>
      </c>
      <c r="B94" s="267">
        <v>12</v>
      </c>
      <c r="C94" s="280">
        <v>7</v>
      </c>
      <c r="D94" s="280">
        <v>11</v>
      </c>
      <c r="E94" s="280">
        <v>13</v>
      </c>
      <c r="F94" s="280">
        <v>16</v>
      </c>
      <c r="G94" s="280">
        <v>15</v>
      </c>
      <c r="H94" s="281">
        <v>15</v>
      </c>
      <c r="I94" s="281">
        <v>23</v>
      </c>
      <c r="J94" s="282">
        <v>17</v>
      </c>
      <c r="K94" s="280">
        <v>22</v>
      </c>
      <c r="L94" s="280">
        <v>27</v>
      </c>
      <c r="M94" s="280">
        <v>20</v>
      </c>
      <c r="N94" s="281">
        <v>22</v>
      </c>
      <c r="O94" s="414">
        <v>22</v>
      </c>
      <c r="P94" s="268">
        <v>16</v>
      </c>
      <c r="Q94" s="473">
        <v>19</v>
      </c>
      <c r="R94" s="473">
        <v>18</v>
      </c>
      <c r="S94" s="513">
        <f>19+2</f>
        <v>21</v>
      </c>
      <c r="T94" s="473">
        <v>21</v>
      </c>
      <c r="U94" s="541">
        <f>19+1</f>
        <v>20</v>
      </c>
      <c r="V94" s="270">
        <v>25</v>
      </c>
      <c r="W94" s="269">
        <v>17</v>
      </c>
      <c r="X94" s="268">
        <v>26</v>
      </c>
      <c r="Y94" s="268">
        <v>22</v>
      </c>
      <c r="Z94" s="443">
        <v>14</v>
      </c>
      <c r="AA94" s="443">
        <v>18</v>
      </c>
      <c r="AB94" s="443">
        <v>18</v>
      </c>
      <c r="AC94" s="443">
        <v>25</v>
      </c>
      <c r="AD94" s="147">
        <v>7</v>
      </c>
      <c r="AE94" s="343" t="str">
        <f t="shared" si="52"/>
        <v xml:space="preserve"> </v>
      </c>
      <c r="AF94" s="344" t="str">
        <f t="shared" si="53"/>
        <v xml:space="preserve"> </v>
      </c>
      <c r="AG94" s="345" t="str">
        <f t="shared" si="54"/>
        <v xml:space="preserve"> </v>
      </c>
      <c r="AH94" s="211">
        <f t="shared" si="55"/>
        <v>16.666666666666668</v>
      </c>
      <c r="AI94" s="154"/>
      <c r="AJ94" s="154"/>
      <c r="AK94" s="159"/>
      <c r="AL94" s="159"/>
      <c r="AM94" s="159"/>
      <c r="AN94" s="159"/>
      <c r="AO94" s="159"/>
      <c r="AP94" s="1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</row>
    <row r="95" spans="1:177" ht="15" customHeight="1" x14ac:dyDescent="0.2">
      <c r="A95" s="95" t="s">
        <v>105</v>
      </c>
      <c r="B95" s="274">
        <v>6</v>
      </c>
      <c r="C95" s="283">
        <v>6</v>
      </c>
      <c r="D95" s="283">
        <v>2</v>
      </c>
      <c r="E95" s="283">
        <v>0</v>
      </c>
      <c r="F95" s="283">
        <v>6</v>
      </c>
      <c r="G95" s="283">
        <v>7</v>
      </c>
      <c r="H95" s="284">
        <v>8</v>
      </c>
      <c r="I95" s="284">
        <v>4</v>
      </c>
      <c r="J95" s="285">
        <v>6</v>
      </c>
      <c r="K95" s="283">
        <v>3</v>
      </c>
      <c r="L95" s="283">
        <v>6</v>
      </c>
      <c r="M95" s="283">
        <v>7</v>
      </c>
      <c r="N95" s="284">
        <v>10</v>
      </c>
      <c r="O95" s="415">
        <v>7</v>
      </c>
      <c r="P95" s="451">
        <v>9</v>
      </c>
      <c r="Q95" s="473">
        <v>3</v>
      </c>
      <c r="R95" s="473">
        <v>0</v>
      </c>
      <c r="S95" s="513">
        <v>6</v>
      </c>
      <c r="T95" s="473">
        <v>7</v>
      </c>
      <c r="U95" s="541">
        <v>9</v>
      </c>
      <c r="V95" s="270">
        <v>6</v>
      </c>
      <c r="W95" s="269">
        <v>3</v>
      </c>
      <c r="X95" s="268">
        <v>10</v>
      </c>
      <c r="Y95" s="268">
        <v>3</v>
      </c>
      <c r="Z95" s="443">
        <v>5</v>
      </c>
      <c r="AA95" s="443">
        <v>1</v>
      </c>
      <c r="AB95" s="443">
        <v>6</v>
      </c>
      <c r="AC95" s="443">
        <v>3</v>
      </c>
      <c r="AD95" s="147">
        <v>2</v>
      </c>
      <c r="AE95" s="343" t="str">
        <f t="shared" si="52"/>
        <v xml:space="preserve"> </v>
      </c>
      <c r="AF95" s="344" t="str">
        <f t="shared" si="53"/>
        <v xml:space="preserve"> </v>
      </c>
      <c r="AG95" s="345" t="str">
        <f t="shared" si="54"/>
        <v xml:space="preserve"> </v>
      </c>
      <c r="AH95" s="211">
        <f t="shared" si="55"/>
        <v>3.6666666666666665</v>
      </c>
      <c r="AI95" s="154"/>
      <c r="AJ95" s="154"/>
      <c r="AK95" s="159"/>
      <c r="AL95" s="159"/>
      <c r="AM95" s="159"/>
      <c r="AN95" s="159"/>
      <c r="AO95" s="159"/>
      <c r="AP95" s="1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</row>
    <row r="96" spans="1:177" ht="15" customHeight="1" thickBot="1" x14ac:dyDescent="0.25">
      <c r="A96" s="220" t="s">
        <v>88</v>
      </c>
      <c r="B96" s="99">
        <f>SUM(B92:B95)</f>
        <v>18</v>
      </c>
      <c r="C96" s="99">
        <f t="shared" ref="C96:AD96" si="56">SUM(C92:C95)</f>
        <v>13</v>
      </c>
      <c r="D96" s="99">
        <f t="shared" si="56"/>
        <v>13</v>
      </c>
      <c r="E96" s="99">
        <f t="shared" si="56"/>
        <v>13</v>
      </c>
      <c r="F96" s="99">
        <f t="shared" si="56"/>
        <v>22</v>
      </c>
      <c r="G96" s="99">
        <f t="shared" si="56"/>
        <v>22</v>
      </c>
      <c r="H96" s="99">
        <f t="shared" si="56"/>
        <v>23</v>
      </c>
      <c r="I96" s="99">
        <f t="shared" si="56"/>
        <v>27</v>
      </c>
      <c r="J96" s="99">
        <f t="shared" si="56"/>
        <v>23</v>
      </c>
      <c r="K96" s="99">
        <f t="shared" si="56"/>
        <v>25</v>
      </c>
      <c r="L96" s="99">
        <f t="shared" si="56"/>
        <v>33</v>
      </c>
      <c r="M96" s="99">
        <f t="shared" si="56"/>
        <v>27</v>
      </c>
      <c r="N96" s="99">
        <f t="shared" si="56"/>
        <v>32</v>
      </c>
      <c r="O96" s="393">
        <f t="shared" si="56"/>
        <v>29</v>
      </c>
      <c r="P96" s="393">
        <f t="shared" si="56"/>
        <v>33</v>
      </c>
      <c r="Q96" s="462">
        <f t="shared" si="56"/>
        <v>29</v>
      </c>
      <c r="R96" s="462">
        <f t="shared" si="56"/>
        <v>41</v>
      </c>
      <c r="S96" s="462">
        <f t="shared" si="56"/>
        <v>50</v>
      </c>
      <c r="T96" s="462">
        <f t="shared" si="56"/>
        <v>56</v>
      </c>
      <c r="U96" s="294">
        <f t="shared" si="56"/>
        <v>50</v>
      </c>
      <c r="V96" s="99">
        <f t="shared" si="56"/>
        <v>58</v>
      </c>
      <c r="W96" s="99">
        <f t="shared" si="56"/>
        <v>39</v>
      </c>
      <c r="X96" s="99">
        <f t="shared" si="56"/>
        <v>59</v>
      </c>
      <c r="Y96" s="99">
        <f t="shared" si="56"/>
        <v>57</v>
      </c>
      <c r="Z96" s="99">
        <f t="shared" ref="Z96:AC96" si="57">SUM(Z92:Z95)</f>
        <v>48</v>
      </c>
      <c r="AA96" s="99">
        <f t="shared" si="57"/>
        <v>39</v>
      </c>
      <c r="AB96" s="99">
        <f t="shared" si="57"/>
        <v>48</v>
      </c>
      <c r="AC96" s="99">
        <f t="shared" si="57"/>
        <v>49</v>
      </c>
      <c r="AD96" s="99">
        <f t="shared" si="56"/>
        <v>15</v>
      </c>
      <c r="AE96" s="181">
        <f t="shared" si="52"/>
        <v>-0.69387755102040816</v>
      </c>
      <c r="AF96" s="181">
        <f t="shared" si="53"/>
        <v>-0.73684210526315785</v>
      </c>
      <c r="AG96" s="181">
        <f t="shared" si="54"/>
        <v>-0.7321428571428571</v>
      </c>
      <c r="AH96" s="99">
        <f t="shared" si="55"/>
        <v>37.333333333333336</v>
      </c>
      <c r="AI96" s="166"/>
      <c r="AJ96" s="154"/>
      <c r="AK96" s="167"/>
      <c r="AL96" s="167"/>
      <c r="AM96" s="167"/>
      <c r="AN96" s="167"/>
      <c r="AO96" s="167"/>
      <c r="AP96" s="167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</row>
    <row r="97" spans="1:177" ht="15" customHeight="1" thickTop="1" x14ac:dyDescent="0.2">
      <c r="A97" s="221" t="s">
        <v>89</v>
      </c>
      <c r="B97" s="223"/>
      <c r="C97" s="223"/>
      <c r="D97" s="224"/>
      <c r="E97" s="224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225"/>
      <c r="AA97" s="225"/>
      <c r="AB97" s="225"/>
      <c r="AC97" s="225"/>
      <c r="AD97" s="225"/>
      <c r="AE97" s="225"/>
      <c r="AF97" s="225"/>
      <c r="AG97" s="184"/>
      <c r="AH97" s="185"/>
      <c r="AI97" s="166"/>
      <c r="AJ97" s="154"/>
      <c r="AK97" s="167"/>
      <c r="AL97" s="167"/>
      <c r="AM97" s="167"/>
      <c r="AN97" s="167"/>
      <c r="AO97" s="167"/>
      <c r="AP97" s="167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</row>
    <row r="98" spans="1:177" ht="15" customHeight="1" x14ac:dyDescent="0.2">
      <c r="A98" s="31" t="s">
        <v>106</v>
      </c>
      <c r="B98" s="174"/>
      <c r="C98" s="174"/>
      <c r="D98" s="174"/>
      <c r="E98" s="174"/>
      <c r="F98" s="174"/>
      <c r="G98" s="226"/>
      <c r="H98" s="157"/>
      <c r="I98" s="157">
        <v>0</v>
      </c>
      <c r="J98" s="227"/>
      <c r="K98" s="227"/>
      <c r="L98" s="227">
        <v>0</v>
      </c>
      <c r="M98" s="227"/>
      <c r="N98" s="157"/>
      <c r="O98" s="385">
        <v>0</v>
      </c>
      <c r="P98" s="385">
        <v>0</v>
      </c>
      <c r="Q98" s="475">
        <v>0</v>
      </c>
      <c r="R98" s="475">
        <v>0</v>
      </c>
      <c r="S98" s="503">
        <v>2</v>
      </c>
      <c r="T98" s="475">
        <v>2</v>
      </c>
      <c r="U98" s="297">
        <v>6</v>
      </c>
      <c r="V98" s="228">
        <v>4</v>
      </c>
      <c r="W98" s="228">
        <v>5</v>
      </c>
      <c r="X98" s="157">
        <v>2</v>
      </c>
      <c r="Y98" s="157">
        <v>4</v>
      </c>
      <c r="Z98" s="228">
        <v>2</v>
      </c>
      <c r="AA98" s="228">
        <v>6</v>
      </c>
      <c r="AB98" s="228">
        <v>3</v>
      </c>
      <c r="AC98" s="228">
        <v>3</v>
      </c>
      <c r="AD98" s="229">
        <v>3</v>
      </c>
      <c r="AE98" s="197" t="str">
        <f t="shared" ref="AE98:AE102" si="58">IF(AD98=0," ",IF(AH98&gt;20,(AD98-AC98)/AC98," "))</f>
        <v xml:space="preserve"> </v>
      </c>
      <c r="AF98" s="349" t="str">
        <f t="shared" ref="AF98:AF102" si="59">IF(AD98=0," ",IF(AH98&gt;20,(AD98-Y98)/Y98," "))</f>
        <v xml:space="preserve"> </v>
      </c>
      <c r="AG98" s="350" t="str">
        <f t="shared" ref="AG98:AG102" si="60">IF(AD98=0," ",(IF(AH98&gt;20,(AD98-T98)/T98," ")))</f>
        <v xml:space="preserve"> </v>
      </c>
      <c r="AH98" s="365">
        <f t="shared" ref="AH98:AH102" si="61">IF(AB98&gt;0,AVERAGE(AB98:AD98),"  ")</f>
        <v>3</v>
      </c>
      <c r="AI98" s="154"/>
      <c r="AJ98" s="154"/>
      <c r="AK98" s="159"/>
      <c r="AL98" s="159"/>
      <c r="AM98" s="159"/>
      <c r="AN98" s="159"/>
      <c r="AO98" s="159"/>
      <c r="AP98" s="1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</row>
    <row r="99" spans="1:177" ht="15" customHeight="1" x14ac:dyDescent="0.2">
      <c r="A99" s="31" t="s">
        <v>107</v>
      </c>
      <c r="B99" s="133"/>
      <c r="C99" s="209"/>
      <c r="D99" s="133"/>
      <c r="E99" s="133"/>
      <c r="F99" s="133">
        <v>0</v>
      </c>
      <c r="G99" s="133"/>
      <c r="H99" s="22"/>
      <c r="I99" s="22"/>
      <c r="J99" s="134"/>
      <c r="K99" s="133"/>
      <c r="L99" s="133">
        <v>0</v>
      </c>
      <c r="M99" s="133">
        <v>0</v>
      </c>
      <c r="N99" s="22">
        <v>0</v>
      </c>
      <c r="O99" s="386">
        <v>0</v>
      </c>
      <c r="P99" s="386">
        <v>7</v>
      </c>
      <c r="Q99" s="454">
        <v>3</v>
      </c>
      <c r="R99" s="454">
        <v>6</v>
      </c>
      <c r="S99" s="504">
        <v>9</v>
      </c>
      <c r="T99" s="454">
        <v>12</v>
      </c>
      <c r="U99" s="397">
        <v>8</v>
      </c>
      <c r="V99" s="134">
        <v>9</v>
      </c>
      <c r="W99" s="134">
        <v>3</v>
      </c>
      <c r="X99" s="22">
        <v>5</v>
      </c>
      <c r="Y99" s="22">
        <v>9</v>
      </c>
      <c r="Z99" s="134">
        <v>12</v>
      </c>
      <c r="AA99" s="134">
        <v>8</v>
      </c>
      <c r="AB99" s="134">
        <v>3</v>
      </c>
      <c r="AC99" s="134">
        <v>9</v>
      </c>
      <c r="AD99" s="135">
        <v>11</v>
      </c>
      <c r="AE99" s="136" t="str">
        <f t="shared" si="58"/>
        <v xml:space="preserve"> </v>
      </c>
      <c r="AF99" s="302" t="str">
        <f t="shared" si="59"/>
        <v xml:space="preserve"> </v>
      </c>
      <c r="AG99" s="303" t="str">
        <f t="shared" si="60"/>
        <v xml:space="preserve"> </v>
      </c>
      <c r="AH99" s="211">
        <f t="shared" si="61"/>
        <v>7.666666666666667</v>
      </c>
      <c r="AI99" s="154"/>
      <c r="AJ99" s="154"/>
      <c r="AK99" s="159"/>
      <c r="AL99" s="159"/>
      <c r="AM99" s="159"/>
      <c r="AN99" s="159"/>
      <c r="AO99" s="159"/>
      <c r="AP99" s="1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  <c r="FL99" s="59"/>
      <c r="FM99" s="59"/>
    </row>
    <row r="100" spans="1:177" ht="15" customHeight="1" x14ac:dyDescent="0.2">
      <c r="A100" s="31" t="s">
        <v>108</v>
      </c>
      <c r="B100" s="230">
        <v>0</v>
      </c>
      <c r="C100" s="133">
        <v>0</v>
      </c>
      <c r="D100" s="230"/>
      <c r="E100" s="230">
        <v>0</v>
      </c>
      <c r="F100" s="230">
        <v>0</v>
      </c>
      <c r="G100" s="206">
        <v>0</v>
      </c>
      <c r="H100" s="22">
        <v>0</v>
      </c>
      <c r="I100" s="22">
        <v>0</v>
      </c>
      <c r="J100" s="206">
        <v>1</v>
      </c>
      <c r="K100" s="206">
        <v>3</v>
      </c>
      <c r="L100" s="206">
        <v>7</v>
      </c>
      <c r="M100" s="206">
        <v>7</v>
      </c>
      <c r="N100" s="22">
        <v>4</v>
      </c>
      <c r="O100" s="386">
        <v>4</v>
      </c>
      <c r="P100" s="386">
        <v>9</v>
      </c>
      <c r="Q100" s="476">
        <v>4</v>
      </c>
      <c r="R100" s="476">
        <v>3</v>
      </c>
      <c r="S100" s="504">
        <v>6</v>
      </c>
      <c r="T100" s="476">
        <v>3</v>
      </c>
      <c r="U100" s="501">
        <v>4</v>
      </c>
      <c r="V100" s="21">
        <v>4</v>
      </c>
      <c r="W100" s="21">
        <v>2</v>
      </c>
      <c r="X100" s="22">
        <v>5</v>
      </c>
      <c r="Y100" s="22">
        <v>1</v>
      </c>
      <c r="Z100" s="21">
        <v>1</v>
      </c>
      <c r="AA100" s="21">
        <v>0</v>
      </c>
      <c r="AB100" s="21">
        <v>6</v>
      </c>
      <c r="AC100" s="21">
        <v>3</v>
      </c>
      <c r="AD100" s="231">
        <v>4</v>
      </c>
      <c r="AE100" s="136" t="str">
        <f t="shared" si="58"/>
        <v xml:space="preserve"> </v>
      </c>
      <c r="AF100" s="302" t="str">
        <f t="shared" si="59"/>
        <v xml:space="preserve"> </v>
      </c>
      <c r="AG100" s="303" t="str">
        <f t="shared" si="60"/>
        <v xml:space="preserve"> </v>
      </c>
      <c r="AH100" s="211">
        <f t="shared" si="61"/>
        <v>4.333333333333333</v>
      </c>
      <c r="AI100" s="154"/>
      <c r="AJ100" s="154"/>
      <c r="AK100" s="159"/>
      <c r="AL100" s="159"/>
      <c r="AM100" s="159"/>
      <c r="AN100" s="159"/>
      <c r="AO100" s="159"/>
      <c r="AP100" s="1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</row>
    <row r="101" spans="1:177" ht="15" customHeight="1" thickBot="1" x14ac:dyDescent="0.25">
      <c r="A101" s="222" t="s">
        <v>90</v>
      </c>
      <c r="B101" s="232">
        <f>+B98+B99+B100</f>
        <v>0</v>
      </c>
      <c r="C101" s="232">
        <f t="shared" ref="C101:AD101" si="62">+C98+C99+C100</f>
        <v>0</v>
      </c>
      <c r="D101" s="232">
        <f t="shared" si="62"/>
        <v>0</v>
      </c>
      <c r="E101" s="232">
        <f t="shared" si="62"/>
        <v>0</v>
      </c>
      <c r="F101" s="232">
        <f t="shared" si="62"/>
        <v>0</v>
      </c>
      <c r="G101" s="232">
        <f t="shared" si="62"/>
        <v>0</v>
      </c>
      <c r="H101" s="232">
        <f t="shared" si="62"/>
        <v>0</v>
      </c>
      <c r="I101" s="232">
        <f t="shared" si="62"/>
        <v>0</v>
      </c>
      <c r="J101" s="232">
        <f t="shared" si="62"/>
        <v>1</v>
      </c>
      <c r="K101" s="232">
        <f t="shared" si="62"/>
        <v>3</v>
      </c>
      <c r="L101" s="232">
        <f t="shared" si="62"/>
        <v>7</v>
      </c>
      <c r="M101" s="232">
        <f t="shared" si="62"/>
        <v>7</v>
      </c>
      <c r="N101" s="232">
        <f t="shared" si="62"/>
        <v>4</v>
      </c>
      <c r="O101" s="416">
        <f t="shared" si="62"/>
        <v>4</v>
      </c>
      <c r="P101" s="416">
        <f t="shared" si="62"/>
        <v>16</v>
      </c>
      <c r="Q101" s="464">
        <f t="shared" si="62"/>
        <v>7</v>
      </c>
      <c r="R101" s="464">
        <f t="shared" si="62"/>
        <v>9</v>
      </c>
      <c r="S101" s="464">
        <f t="shared" si="62"/>
        <v>17</v>
      </c>
      <c r="T101" s="464">
        <f t="shared" si="62"/>
        <v>17</v>
      </c>
      <c r="U101" s="295">
        <f t="shared" si="62"/>
        <v>18</v>
      </c>
      <c r="V101" s="232">
        <f t="shared" si="62"/>
        <v>17</v>
      </c>
      <c r="W101" s="232">
        <f t="shared" si="62"/>
        <v>10</v>
      </c>
      <c r="X101" s="232">
        <f t="shared" si="62"/>
        <v>12</v>
      </c>
      <c r="Y101" s="232">
        <f t="shared" si="62"/>
        <v>14</v>
      </c>
      <c r="Z101" s="232">
        <f t="shared" ref="Z101:AC101" si="63">+Z98+Z99+Z100</f>
        <v>15</v>
      </c>
      <c r="AA101" s="232">
        <f t="shared" si="63"/>
        <v>14</v>
      </c>
      <c r="AB101" s="232">
        <f t="shared" si="63"/>
        <v>12</v>
      </c>
      <c r="AC101" s="232">
        <f t="shared" si="63"/>
        <v>15</v>
      </c>
      <c r="AD101" s="232">
        <f t="shared" si="62"/>
        <v>18</v>
      </c>
      <c r="AE101" s="232" t="str">
        <f t="shared" si="58"/>
        <v xml:space="preserve"> </v>
      </c>
      <c r="AF101" s="232" t="str">
        <f t="shared" si="59"/>
        <v xml:space="preserve"> </v>
      </c>
      <c r="AG101" s="232" t="str">
        <f t="shared" si="60"/>
        <v xml:space="preserve"> </v>
      </c>
      <c r="AH101" s="232">
        <f t="shared" si="61"/>
        <v>15</v>
      </c>
      <c r="AI101" s="154"/>
      <c r="AJ101" s="154"/>
      <c r="AK101" s="159"/>
      <c r="AL101" s="159"/>
      <c r="AM101" s="159"/>
      <c r="AN101" s="159"/>
      <c r="AO101" s="159"/>
      <c r="AP101" s="1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  <c r="FL101" s="59"/>
      <c r="FM101" s="59"/>
    </row>
    <row r="102" spans="1:177" ht="15" customHeight="1" thickTop="1" thickBot="1" x14ac:dyDescent="0.25">
      <c r="A102" s="52" t="s">
        <v>109</v>
      </c>
      <c r="B102" s="259">
        <v>30</v>
      </c>
      <c r="C102" s="259">
        <v>32</v>
      </c>
      <c r="D102" s="260">
        <v>35</v>
      </c>
      <c r="E102" s="260">
        <v>37</v>
      </c>
      <c r="F102" s="259">
        <v>38</v>
      </c>
      <c r="G102" s="259">
        <v>28</v>
      </c>
      <c r="H102" s="259">
        <v>35</v>
      </c>
      <c r="I102" s="259">
        <v>39</v>
      </c>
      <c r="J102" s="259">
        <v>46</v>
      </c>
      <c r="K102" s="259">
        <v>51</v>
      </c>
      <c r="L102" s="259">
        <v>37</v>
      </c>
      <c r="M102" s="259">
        <v>39</v>
      </c>
      <c r="N102" s="259">
        <v>38</v>
      </c>
      <c r="O102" s="417">
        <v>49</v>
      </c>
      <c r="P102" s="417">
        <v>41</v>
      </c>
      <c r="Q102" s="477">
        <v>32</v>
      </c>
      <c r="R102" s="477">
        <v>37</v>
      </c>
      <c r="S102" s="477">
        <v>21</v>
      </c>
      <c r="T102" s="477">
        <v>26</v>
      </c>
      <c r="U102" s="296">
        <v>27</v>
      </c>
      <c r="V102" s="259">
        <v>30</v>
      </c>
      <c r="W102" s="259">
        <v>27</v>
      </c>
      <c r="X102" s="259">
        <v>40</v>
      </c>
      <c r="Y102" s="259">
        <v>36</v>
      </c>
      <c r="Z102" s="261">
        <v>38</v>
      </c>
      <c r="AA102" s="261">
        <v>31</v>
      </c>
      <c r="AB102" s="261">
        <v>32</v>
      </c>
      <c r="AC102" s="261">
        <v>32</v>
      </c>
      <c r="AD102" s="261">
        <v>35</v>
      </c>
      <c r="AE102" s="334">
        <f t="shared" si="58"/>
        <v>9.375E-2</v>
      </c>
      <c r="AF102" s="334">
        <f t="shared" si="59"/>
        <v>-2.7777777777777776E-2</v>
      </c>
      <c r="AG102" s="334">
        <f t="shared" si="60"/>
        <v>0.34615384615384615</v>
      </c>
      <c r="AH102" s="261">
        <f t="shared" si="61"/>
        <v>33</v>
      </c>
      <c r="AI102" s="154"/>
      <c r="AJ102" s="154"/>
      <c r="AK102" s="159"/>
      <c r="AL102" s="159"/>
      <c r="AM102" s="159"/>
      <c r="AN102" s="159"/>
      <c r="AO102" s="159"/>
      <c r="AP102" s="1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</row>
    <row r="103" spans="1:177" ht="15" customHeight="1" thickTop="1" x14ac:dyDescent="0.2">
      <c r="A103" s="58" t="s">
        <v>93</v>
      </c>
      <c r="B103" s="233"/>
      <c r="C103" s="233"/>
      <c r="D103" s="234"/>
      <c r="E103" s="234"/>
      <c r="F103" s="233"/>
      <c r="G103" s="235"/>
      <c r="H103" s="235"/>
      <c r="I103" s="235"/>
      <c r="J103" s="233"/>
      <c r="K103" s="233"/>
      <c r="L103" s="233"/>
      <c r="M103" s="233"/>
      <c r="N103" s="233"/>
      <c r="O103" s="233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7"/>
      <c r="AA103" s="237"/>
      <c r="AB103" s="237"/>
      <c r="AC103" s="237"/>
      <c r="AD103" s="237"/>
      <c r="AE103" s="376"/>
      <c r="AF103" s="376"/>
      <c r="AG103" s="377"/>
      <c r="AH103" s="378"/>
      <c r="AI103" s="154"/>
      <c r="AJ103" s="154"/>
      <c r="AK103" s="159"/>
      <c r="AL103" s="159"/>
      <c r="AM103" s="159"/>
      <c r="AN103" s="159"/>
      <c r="AO103" s="159"/>
      <c r="AP103" s="1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/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</row>
    <row r="104" spans="1:177" ht="15" customHeight="1" x14ac:dyDescent="0.2">
      <c r="A104" s="100" t="s">
        <v>125</v>
      </c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28"/>
      <c r="N104" s="228"/>
      <c r="O104" s="418"/>
      <c r="P104" s="418"/>
      <c r="Q104" s="475"/>
      <c r="R104" s="475">
        <v>0</v>
      </c>
      <c r="S104" s="475"/>
      <c r="T104" s="475">
        <v>0</v>
      </c>
      <c r="U104" s="297"/>
      <c r="V104" s="228"/>
      <c r="W104" s="228"/>
      <c r="X104" s="157"/>
      <c r="Y104" s="157">
        <v>6</v>
      </c>
      <c r="Z104" s="228">
        <v>0</v>
      </c>
      <c r="AA104" s="228">
        <v>6</v>
      </c>
      <c r="AB104" s="228">
        <v>4</v>
      </c>
      <c r="AC104" s="228">
        <v>4</v>
      </c>
      <c r="AD104" s="240">
        <v>5</v>
      </c>
      <c r="AE104" s="343" t="str">
        <f t="shared" ref="AE104:AE112" si="64">IF(AD104=0," ",IF(AH104&gt;20,(AD104-AC104)/AC104," "))</f>
        <v xml:space="preserve"> </v>
      </c>
      <c r="AF104" s="344" t="str">
        <f t="shared" ref="AF104:AF112" si="65">IF(AD104=0," ",IF(AH104&gt;20,(AD104-Y104)/Y104," "))</f>
        <v xml:space="preserve"> </v>
      </c>
      <c r="AG104" s="345" t="str">
        <f t="shared" ref="AG104:AG112" si="66">IF(AD104=0," ",(IF(AH104&gt;20,(AD104-T104)/T104," ")))</f>
        <v xml:space="preserve"> </v>
      </c>
      <c r="AH104" s="211">
        <f t="shared" ref="AH104:AH112" si="67">IF(AB104&gt;0,AVERAGE(AB104:AD104),"  ")</f>
        <v>4.333333333333333</v>
      </c>
    </row>
    <row r="105" spans="1:177" ht="15" customHeight="1" x14ac:dyDescent="0.2">
      <c r="A105" s="1" t="s">
        <v>145</v>
      </c>
      <c r="B105" s="133">
        <v>80</v>
      </c>
      <c r="C105" s="209">
        <v>87</v>
      </c>
      <c r="D105" s="133">
        <v>88</v>
      </c>
      <c r="E105" s="133">
        <v>89</v>
      </c>
      <c r="F105" s="133">
        <v>74</v>
      </c>
      <c r="G105" s="133">
        <v>61</v>
      </c>
      <c r="H105" s="22">
        <v>51</v>
      </c>
      <c r="I105" s="22">
        <v>49</v>
      </c>
      <c r="J105" s="134">
        <v>70</v>
      </c>
      <c r="K105" s="133">
        <v>52</v>
      </c>
      <c r="L105" s="133">
        <v>51</v>
      </c>
      <c r="M105" s="133">
        <v>48</v>
      </c>
      <c r="N105" s="22">
        <v>38</v>
      </c>
      <c r="O105" s="386">
        <v>47</v>
      </c>
      <c r="P105" s="386">
        <v>46</v>
      </c>
      <c r="Q105" s="454">
        <v>35</v>
      </c>
      <c r="R105" s="454">
        <v>26</v>
      </c>
      <c r="S105" s="504">
        <v>36</v>
      </c>
      <c r="T105" s="454">
        <v>33</v>
      </c>
      <c r="U105" s="397">
        <v>32</v>
      </c>
      <c r="V105" s="134">
        <v>38</v>
      </c>
      <c r="W105" s="134">
        <v>28</v>
      </c>
      <c r="X105" s="22">
        <v>27</v>
      </c>
      <c r="Y105" s="22">
        <v>36</v>
      </c>
      <c r="Z105" s="134">
        <v>27</v>
      </c>
      <c r="AA105" s="134">
        <v>29</v>
      </c>
      <c r="AB105" s="134">
        <v>25</v>
      </c>
      <c r="AC105" s="134">
        <v>20</v>
      </c>
      <c r="AD105" s="135">
        <v>18</v>
      </c>
      <c r="AE105" s="343">
        <f t="shared" si="64"/>
        <v>-0.1</v>
      </c>
      <c r="AF105" s="344">
        <f t="shared" si="65"/>
        <v>-0.5</v>
      </c>
      <c r="AG105" s="345">
        <f t="shared" si="66"/>
        <v>-0.45454545454545453</v>
      </c>
      <c r="AH105" s="211">
        <f t="shared" si="67"/>
        <v>21</v>
      </c>
    </row>
    <row r="106" spans="1:177" ht="15" customHeight="1" x14ac:dyDescent="0.2">
      <c r="A106" s="26" t="s">
        <v>35</v>
      </c>
      <c r="B106" s="230"/>
      <c r="C106" s="133"/>
      <c r="D106" s="230"/>
      <c r="E106" s="230"/>
      <c r="F106" s="230"/>
      <c r="G106" s="206"/>
      <c r="H106" s="22"/>
      <c r="I106" s="22"/>
      <c r="J106" s="206"/>
      <c r="K106" s="206">
        <v>1</v>
      </c>
      <c r="L106" s="206">
        <v>0</v>
      </c>
      <c r="M106" s="206">
        <v>3</v>
      </c>
      <c r="N106" s="22">
        <v>7</v>
      </c>
      <c r="O106" s="387">
        <v>9</v>
      </c>
      <c r="P106" s="387">
        <v>5</v>
      </c>
      <c r="Q106" s="478">
        <v>12</v>
      </c>
      <c r="R106" s="478">
        <v>7</v>
      </c>
      <c r="S106" s="505">
        <v>11</v>
      </c>
      <c r="T106" s="478">
        <v>12</v>
      </c>
      <c r="U106" s="502">
        <v>7</v>
      </c>
      <c r="V106" s="28">
        <v>4</v>
      </c>
      <c r="W106" s="28">
        <v>3</v>
      </c>
      <c r="X106" s="27">
        <v>8</v>
      </c>
      <c r="Y106" s="27">
        <v>8</v>
      </c>
      <c r="Z106" s="28">
        <v>4</v>
      </c>
      <c r="AA106" s="28">
        <v>7</v>
      </c>
      <c r="AB106" s="28">
        <v>6</v>
      </c>
      <c r="AC106" s="28">
        <v>5</v>
      </c>
      <c r="AD106" s="368">
        <v>4</v>
      </c>
      <c r="AE106" s="346" t="str">
        <f t="shared" si="64"/>
        <v xml:space="preserve"> </v>
      </c>
      <c r="AF106" s="347" t="str">
        <f t="shared" si="65"/>
        <v xml:space="preserve"> </v>
      </c>
      <c r="AG106" s="348" t="str">
        <f t="shared" si="66"/>
        <v xml:space="preserve"> </v>
      </c>
      <c r="AH106" s="364">
        <f t="shared" si="67"/>
        <v>5</v>
      </c>
    </row>
    <row r="107" spans="1:177" ht="15" customHeight="1" x14ac:dyDescent="0.2">
      <c r="A107" s="3" t="s">
        <v>111</v>
      </c>
      <c r="B107" s="230"/>
      <c r="C107" s="230"/>
      <c r="D107" s="230"/>
      <c r="E107" s="230">
        <v>6</v>
      </c>
      <c r="F107" s="230">
        <v>21</v>
      </c>
      <c r="G107" s="206">
        <v>9</v>
      </c>
      <c r="H107" s="22">
        <v>11</v>
      </c>
      <c r="I107" s="22">
        <v>13</v>
      </c>
      <c r="J107" s="206">
        <v>13</v>
      </c>
      <c r="K107" s="206">
        <v>15</v>
      </c>
      <c r="L107" s="206">
        <v>11</v>
      </c>
      <c r="M107" s="206">
        <v>15</v>
      </c>
      <c r="N107" s="22">
        <v>2</v>
      </c>
      <c r="O107" s="386">
        <v>12</v>
      </c>
      <c r="P107" s="386">
        <v>12</v>
      </c>
      <c r="Q107" s="476">
        <v>13</v>
      </c>
      <c r="R107" s="476">
        <v>12</v>
      </c>
      <c r="S107" s="504">
        <v>13</v>
      </c>
      <c r="T107" s="476">
        <v>17</v>
      </c>
      <c r="U107" s="501">
        <v>9</v>
      </c>
      <c r="V107" s="21">
        <v>14</v>
      </c>
      <c r="W107" s="21">
        <v>6</v>
      </c>
      <c r="X107" s="22">
        <v>7</v>
      </c>
      <c r="Y107" s="22">
        <v>6</v>
      </c>
      <c r="Z107" s="21">
        <v>5</v>
      </c>
      <c r="AA107" s="21">
        <v>4</v>
      </c>
      <c r="AB107" s="21">
        <v>4</v>
      </c>
      <c r="AC107" s="21">
        <v>1</v>
      </c>
      <c r="AD107" s="231">
        <v>6</v>
      </c>
      <c r="AE107" s="340" t="str">
        <f t="shared" si="64"/>
        <v xml:space="preserve"> </v>
      </c>
      <c r="AF107" s="341" t="str">
        <f t="shared" si="65"/>
        <v xml:space="preserve"> </v>
      </c>
      <c r="AG107" s="342" t="str">
        <f t="shared" si="66"/>
        <v xml:space="preserve"> </v>
      </c>
      <c r="AH107" s="363">
        <f t="shared" si="67"/>
        <v>3.6666666666666665</v>
      </c>
    </row>
    <row r="108" spans="1:177" ht="15" customHeight="1" x14ac:dyDescent="0.2">
      <c r="A108" s="3" t="s">
        <v>128</v>
      </c>
      <c r="B108" s="206"/>
      <c r="C108" s="256">
        <v>0</v>
      </c>
      <c r="D108" s="206">
        <v>8</v>
      </c>
      <c r="E108" s="206">
        <v>11</v>
      </c>
      <c r="F108" s="206">
        <v>12</v>
      </c>
      <c r="G108" s="206">
        <v>9</v>
      </c>
      <c r="H108" s="22">
        <v>8</v>
      </c>
      <c r="I108" s="22">
        <v>15</v>
      </c>
      <c r="J108" s="206">
        <v>11</v>
      </c>
      <c r="K108" s="206">
        <v>16</v>
      </c>
      <c r="L108" s="206">
        <v>9</v>
      </c>
      <c r="M108" s="206">
        <v>6</v>
      </c>
      <c r="N108" s="22">
        <v>12</v>
      </c>
      <c r="O108" s="386">
        <v>14</v>
      </c>
      <c r="P108" s="386">
        <v>7</v>
      </c>
      <c r="Q108" s="476">
        <v>6</v>
      </c>
      <c r="R108" s="476">
        <v>11</v>
      </c>
      <c r="S108" s="504">
        <v>11</v>
      </c>
      <c r="T108" s="476">
        <v>21</v>
      </c>
      <c r="U108" s="501">
        <v>14</v>
      </c>
      <c r="V108" s="21">
        <v>14</v>
      </c>
      <c r="W108" s="21">
        <v>10</v>
      </c>
      <c r="X108" s="22">
        <v>13</v>
      </c>
      <c r="Y108" s="22">
        <v>11</v>
      </c>
      <c r="Z108" s="21">
        <v>8</v>
      </c>
      <c r="AA108" s="21">
        <v>13</v>
      </c>
      <c r="AB108" s="21">
        <v>17</v>
      </c>
      <c r="AC108" s="21">
        <v>5</v>
      </c>
      <c r="AD108" s="231">
        <v>7</v>
      </c>
      <c r="AE108" s="343" t="str">
        <f t="shared" si="64"/>
        <v xml:space="preserve"> </v>
      </c>
      <c r="AF108" s="344" t="str">
        <f t="shared" si="65"/>
        <v xml:space="preserve"> </v>
      </c>
      <c r="AG108" s="345" t="str">
        <f t="shared" si="66"/>
        <v xml:space="preserve"> </v>
      </c>
      <c r="AH108" s="211">
        <f t="shared" si="67"/>
        <v>9.6666666666666661</v>
      </c>
    </row>
    <row r="109" spans="1:177" ht="15" customHeight="1" x14ac:dyDescent="0.2">
      <c r="A109" s="3" t="s">
        <v>129</v>
      </c>
      <c r="B109" s="206"/>
      <c r="C109" s="256"/>
      <c r="D109" s="206"/>
      <c r="E109" s="206"/>
      <c r="F109" s="206"/>
      <c r="G109" s="206"/>
      <c r="H109" s="22"/>
      <c r="I109" s="22"/>
      <c r="J109" s="206"/>
      <c r="K109" s="206"/>
      <c r="L109" s="206"/>
      <c r="M109" s="206"/>
      <c r="N109" s="22"/>
      <c r="O109" s="386"/>
      <c r="P109" s="386"/>
      <c r="Q109" s="476"/>
      <c r="R109" s="476">
        <v>0</v>
      </c>
      <c r="S109" s="504">
        <v>0</v>
      </c>
      <c r="T109" s="476">
        <v>0</v>
      </c>
      <c r="U109" s="501"/>
      <c r="V109" s="21"/>
      <c r="W109" s="21"/>
      <c r="X109" s="22">
        <v>0</v>
      </c>
      <c r="Y109" s="22">
        <v>0</v>
      </c>
      <c r="Z109" s="21">
        <v>1</v>
      </c>
      <c r="AA109" s="21">
        <v>2</v>
      </c>
      <c r="AB109" s="21">
        <v>12</v>
      </c>
      <c r="AC109" s="21">
        <v>4</v>
      </c>
      <c r="AD109" s="231">
        <v>3</v>
      </c>
      <c r="AE109" s="343" t="str">
        <f t="shared" si="64"/>
        <v xml:space="preserve"> </v>
      </c>
      <c r="AF109" s="344" t="str">
        <f t="shared" si="65"/>
        <v xml:space="preserve"> </v>
      </c>
      <c r="AG109" s="345" t="str">
        <f t="shared" si="66"/>
        <v xml:space="preserve"> </v>
      </c>
      <c r="AH109" s="211">
        <f t="shared" si="67"/>
        <v>6.333333333333333</v>
      </c>
    </row>
    <row r="110" spans="1:177" ht="15" customHeight="1" x14ac:dyDescent="0.2">
      <c r="A110" s="3" t="s">
        <v>144</v>
      </c>
      <c r="B110" s="206"/>
      <c r="C110" s="256"/>
      <c r="D110" s="206"/>
      <c r="E110" s="206"/>
      <c r="F110" s="206"/>
      <c r="G110" s="206"/>
      <c r="H110" s="22"/>
      <c r="I110" s="22"/>
      <c r="J110" s="206"/>
      <c r="K110" s="206"/>
      <c r="L110" s="206"/>
      <c r="M110" s="206"/>
      <c r="N110" s="22"/>
      <c r="O110" s="386"/>
      <c r="P110" s="386"/>
      <c r="Q110" s="476"/>
      <c r="R110" s="476">
        <v>0</v>
      </c>
      <c r="S110" s="504">
        <v>0</v>
      </c>
      <c r="T110" s="476">
        <v>0</v>
      </c>
      <c r="U110" s="501"/>
      <c r="V110" s="21"/>
      <c r="W110" s="21"/>
      <c r="X110" s="22">
        <v>0</v>
      </c>
      <c r="Y110" s="22">
        <v>0</v>
      </c>
      <c r="Z110" s="21">
        <v>0</v>
      </c>
      <c r="AA110" s="21">
        <v>0</v>
      </c>
      <c r="AB110" s="21">
        <v>0</v>
      </c>
      <c r="AC110" s="21">
        <v>1</v>
      </c>
      <c r="AD110" s="231">
        <v>0</v>
      </c>
      <c r="AE110" s="343" t="str">
        <f t="shared" si="64"/>
        <v xml:space="preserve"> </v>
      </c>
      <c r="AF110" s="344" t="str">
        <f t="shared" si="65"/>
        <v xml:space="preserve"> </v>
      </c>
      <c r="AG110" s="345" t="str">
        <f t="shared" si="66"/>
        <v xml:space="preserve"> </v>
      </c>
      <c r="AH110" s="211" t="str">
        <f t="shared" si="67"/>
        <v xml:space="preserve">  </v>
      </c>
    </row>
    <row r="111" spans="1:177" ht="15" customHeight="1" x14ac:dyDescent="0.2">
      <c r="A111" s="3" t="s">
        <v>147</v>
      </c>
      <c r="B111" s="206"/>
      <c r="C111" s="256"/>
      <c r="D111" s="206"/>
      <c r="E111" s="206"/>
      <c r="F111" s="206"/>
      <c r="G111" s="206"/>
      <c r="H111" s="22"/>
      <c r="I111" s="22"/>
      <c r="J111" s="206"/>
      <c r="K111" s="206"/>
      <c r="L111" s="206"/>
      <c r="M111" s="206"/>
      <c r="N111" s="22"/>
      <c r="O111" s="386"/>
      <c r="P111" s="386"/>
      <c r="Q111" s="476"/>
      <c r="R111" s="476">
        <v>0</v>
      </c>
      <c r="S111" s="504">
        <v>0</v>
      </c>
      <c r="T111" s="476">
        <v>0</v>
      </c>
      <c r="U111" s="501"/>
      <c r="V111" s="21"/>
      <c r="W111" s="21"/>
      <c r="X111" s="22">
        <v>0</v>
      </c>
      <c r="Y111" s="22">
        <v>0</v>
      </c>
      <c r="Z111" s="21">
        <v>0</v>
      </c>
      <c r="AA111" s="21">
        <v>0</v>
      </c>
      <c r="AB111" s="21">
        <v>0</v>
      </c>
      <c r="AC111" s="21">
        <v>1</v>
      </c>
      <c r="AD111" s="231">
        <v>0</v>
      </c>
      <c r="AE111" s="343" t="str">
        <f t="shared" si="64"/>
        <v xml:space="preserve"> </v>
      </c>
      <c r="AF111" s="344" t="str">
        <f t="shared" si="65"/>
        <v xml:space="preserve"> </v>
      </c>
      <c r="AG111" s="345" t="str">
        <f t="shared" si="66"/>
        <v xml:space="preserve"> </v>
      </c>
      <c r="AH111" s="211" t="str">
        <f t="shared" si="67"/>
        <v xml:space="preserve">  </v>
      </c>
    </row>
    <row r="112" spans="1:177" ht="12.75" thickBot="1" x14ac:dyDescent="0.25">
      <c r="A112" s="257" t="s">
        <v>94</v>
      </c>
      <c r="B112" s="258">
        <f>SUM(B104:B111)</f>
        <v>80</v>
      </c>
      <c r="C112" s="258">
        <f t="shared" ref="C112:AD112" si="68">SUM(C104:C111)</f>
        <v>87</v>
      </c>
      <c r="D112" s="258">
        <f t="shared" si="68"/>
        <v>96</v>
      </c>
      <c r="E112" s="258">
        <f t="shared" si="68"/>
        <v>106</v>
      </c>
      <c r="F112" s="258">
        <f t="shared" si="68"/>
        <v>107</v>
      </c>
      <c r="G112" s="258">
        <f t="shared" si="68"/>
        <v>79</v>
      </c>
      <c r="H112" s="258">
        <f t="shared" si="68"/>
        <v>70</v>
      </c>
      <c r="I112" s="258">
        <f t="shared" si="68"/>
        <v>77</v>
      </c>
      <c r="J112" s="258">
        <f t="shared" si="68"/>
        <v>94</v>
      </c>
      <c r="K112" s="258">
        <f t="shared" si="68"/>
        <v>84</v>
      </c>
      <c r="L112" s="258">
        <f t="shared" si="68"/>
        <v>71</v>
      </c>
      <c r="M112" s="258">
        <f t="shared" si="68"/>
        <v>72</v>
      </c>
      <c r="N112" s="258">
        <f t="shared" si="68"/>
        <v>59</v>
      </c>
      <c r="O112" s="258">
        <f t="shared" si="68"/>
        <v>82</v>
      </c>
      <c r="P112" s="419">
        <f t="shared" si="68"/>
        <v>70</v>
      </c>
      <c r="Q112" s="479">
        <f t="shared" si="68"/>
        <v>66</v>
      </c>
      <c r="R112" s="479">
        <f t="shared" si="68"/>
        <v>56</v>
      </c>
      <c r="S112" s="479">
        <f t="shared" si="68"/>
        <v>71</v>
      </c>
      <c r="T112" s="479">
        <f t="shared" si="68"/>
        <v>83</v>
      </c>
      <c r="U112" s="298">
        <f t="shared" si="68"/>
        <v>62</v>
      </c>
      <c r="V112" s="258">
        <f t="shared" si="68"/>
        <v>70</v>
      </c>
      <c r="W112" s="258">
        <f t="shared" si="68"/>
        <v>47</v>
      </c>
      <c r="X112" s="258">
        <f t="shared" si="68"/>
        <v>55</v>
      </c>
      <c r="Y112" s="258">
        <f t="shared" si="68"/>
        <v>67</v>
      </c>
      <c r="Z112" s="258">
        <f t="shared" si="68"/>
        <v>45</v>
      </c>
      <c r="AA112" s="258">
        <f t="shared" ref="AA112:AC112" si="69">SUM(AA104:AA111)</f>
        <v>61</v>
      </c>
      <c r="AB112" s="258">
        <f t="shared" si="69"/>
        <v>68</v>
      </c>
      <c r="AC112" s="258">
        <f t="shared" si="69"/>
        <v>41</v>
      </c>
      <c r="AD112" s="258">
        <f t="shared" si="68"/>
        <v>43</v>
      </c>
      <c r="AE112" s="335">
        <f t="shared" si="64"/>
        <v>4.878048780487805E-2</v>
      </c>
      <c r="AF112" s="335">
        <f t="shared" si="65"/>
        <v>-0.35820895522388058</v>
      </c>
      <c r="AG112" s="335">
        <f t="shared" si="66"/>
        <v>-0.48192771084337349</v>
      </c>
      <c r="AH112" s="258">
        <f t="shared" si="67"/>
        <v>50.666666666666664</v>
      </c>
    </row>
    <row r="113" spans="1:42" ht="12.75" thickTop="1" x14ac:dyDescent="0.2">
      <c r="A113" s="371" t="s">
        <v>114</v>
      </c>
      <c r="B113" s="241"/>
      <c r="C113" s="241"/>
      <c r="D113" s="242"/>
      <c r="E113" s="242"/>
      <c r="F113" s="241"/>
      <c r="G113" s="241"/>
      <c r="H113" s="243"/>
      <c r="I113" s="243"/>
      <c r="J113" s="243"/>
      <c r="K113" s="243"/>
      <c r="L113" s="244"/>
      <c r="M113" s="243"/>
      <c r="N113" s="243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6"/>
      <c r="AA113" s="246"/>
      <c r="AB113" s="246"/>
      <c r="AC113" s="246"/>
      <c r="AD113" s="246"/>
      <c r="AE113" s="246"/>
      <c r="AF113" s="247"/>
      <c r="AG113" s="246"/>
      <c r="AH113" s="374"/>
    </row>
    <row r="114" spans="1:42" ht="12" x14ac:dyDescent="0.2">
      <c r="A114" s="248" t="s">
        <v>61</v>
      </c>
      <c r="B114" s="249">
        <f t="shared" ref="B114:R114" si="70">+B85+B93</f>
        <v>0</v>
      </c>
      <c r="C114" s="249">
        <f t="shared" si="70"/>
        <v>0</v>
      </c>
      <c r="D114" s="249">
        <f t="shared" si="70"/>
        <v>0</v>
      </c>
      <c r="E114" s="249">
        <f t="shared" si="70"/>
        <v>0</v>
      </c>
      <c r="F114" s="249">
        <f t="shared" si="70"/>
        <v>0</v>
      </c>
      <c r="G114" s="249">
        <f t="shared" si="70"/>
        <v>0</v>
      </c>
      <c r="H114" s="249">
        <f t="shared" si="70"/>
        <v>0</v>
      </c>
      <c r="I114" s="249">
        <f t="shared" si="70"/>
        <v>0</v>
      </c>
      <c r="J114" s="249">
        <f t="shared" si="70"/>
        <v>0</v>
      </c>
      <c r="K114" s="249">
        <f t="shared" si="70"/>
        <v>0</v>
      </c>
      <c r="L114" s="249">
        <f t="shared" si="70"/>
        <v>0</v>
      </c>
      <c r="M114" s="249">
        <f t="shared" si="70"/>
        <v>0</v>
      </c>
      <c r="N114" s="249">
        <f t="shared" si="70"/>
        <v>0</v>
      </c>
      <c r="O114" s="420">
        <f t="shared" si="70"/>
        <v>0</v>
      </c>
      <c r="P114" s="420">
        <f t="shared" si="70"/>
        <v>8</v>
      </c>
      <c r="Q114" s="480">
        <f t="shared" si="70"/>
        <v>7</v>
      </c>
      <c r="R114" s="480">
        <f t="shared" si="70"/>
        <v>8</v>
      </c>
      <c r="S114" s="480">
        <f t="shared" ref="S114:AB114" si="71">+S85+S93+S111</f>
        <v>8</v>
      </c>
      <c r="T114" s="480">
        <f t="shared" si="71"/>
        <v>16</v>
      </c>
      <c r="U114" s="299">
        <f t="shared" si="71"/>
        <v>13</v>
      </c>
      <c r="V114" s="249">
        <f t="shared" si="71"/>
        <v>8</v>
      </c>
      <c r="W114" s="249">
        <f t="shared" si="71"/>
        <v>1</v>
      </c>
      <c r="X114" s="249">
        <f t="shared" si="71"/>
        <v>5</v>
      </c>
      <c r="Y114" s="249">
        <f>+Y85+Y93+Y111</f>
        <v>21</v>
      </c>
      <c r="Z114" s="249">
        <f t="shared" si="71"/>
        <v>10</v>
      </c>
      <c r="AA114" s="249">
        <f t="shared" si="71"/>
        <v>10</v>
      </c>
      <c r="AB114" s="249">
        <f t="shared" si="71"/>
        <v>3</v>
      </c>
      <c r="AC114" s="249">
        <f>+AC110+AC93+AC85</f>
        <v>12</v>
      </c>
      <c r="AD114" s="263">
        <f>+AD110+AD93+AD85</f>
        <v>0</v>
      </c>
      <c r="AE114" s="251" t="str">
        <f t="shared" ref="AE114:AE118" si="72">IF(AD114=0," ",IF(AH114&gt;20,(AD114-AC114)/AC114," "))</f>
        <v xml:space="preserve"> </v>
      </c>
      <c r="AF114" s="338" t="str">
        <f t="shared" ref="AF114:AF118" si="73">IF(AD114=0," ",IF(AH114&gt;20,(AD114-Y114)/Y114," "))</f>
        <v xml:space="preserve"> </v>
      </c>
      <c r="AG114" s="251" t="str">
        <f t="shared" ref="AG114:AG118" si="74">IF(AD114=0," ",(IF(AH114&gt;20,(AD114-T114)/T114," ")))</f>
        <v xml:space="preserve"> </v>
      </c>
      <c r="AH114" s="366">
        <f t="shared" ref="AH114:AH118" si="75">IF(AB114&gt;0,AVERAGE(AB114:AD114),"  ")</f>
        <v>5</v>
      </c>
    </row>
    <row r="115" spans="1:42" ht="12" x14ac:dyDescent="0.2">
      <c r="A115" s="248" t="s">
        <v>34</v>
      </c>
      <c r="B115" s="250">
        <f t="shared" ref="B115:Y115" si="76">+B81+B82+B86+B92+B94+B95+B98+B99+B100+B105+B106+B107+B108+B102+B89</f>
        <v>138</v>
      </c>
      <c r="C115" s="250">
        <f t="shared" si="76"/>
        <v>137</v>
      </c>
      <c r="D115" s="250">
        <f t="shared" si="76"/>
        <v>158</v>
      </c>
      <c r="E115" s="250">
        <f t="shared" si="76"/>
        <v>163</v>
      </c>
      <c r="F115" s="250">
        <f t="shared" si="76"/>
        <v>178</v>
      </c>
      <c r="G115" s="250">
        <f t="shared" si="76"/>
        <v>142</v>
      </c>
      <c r="H115" s="250">
        <f t="shared" si="76"/>
        <v>136</v>
      </c>
      <c r="I115" s="250">
        <f t="shared" si="76"/>
        <v>155</v>
      </c>
      <c r="J115" s="250">
        <f t="shared" si="76"/>
        <v>194</v>
      </c>
      <c r="K115" s="250">
        <f t="shared" si="76"/>
        <v>207</v>
      </c>
      <c r="L115" s="250">
        <f t="shared" si="76"/>
        <v>190</v>
      </c>
      <c r="M115" s="250">
        <f t="shared" si="76"/>
        <v>209</v>
      </c>
      <c r="N115" s="250">
        <f t="shared" si="76"/>
        <v>170</v>
      </c>
      <c r="O115" s="421">
        <f t="shared" si="76"/>
        <v>222</v>
      </c>
      <c r="P115" s="421">
        <f t="shared" si="76"/>
        <v>209</v>
      </c>
      <c r="Q115" s="481">
        <f t="shared" si="76"/>
        <v>213</v>
      </c>
      <c r="R115" s="481">
        <f t="shared" si="76"/>
        <v>225</v>
      </c>
      <c r="S115" s="481">
        <f t="shared" si="76"/>
        <v>245</v>
      </c>
      <c r="T115" s="481">
        <f t="shared" si="76"/>
        <v>281</v>
      </c>
      <c r="U115" s="300">
        <f t="shared" si="76"/>
        <v>258</v>
      </c>
      <c r="V115" s="250">
        <f t="shared" si="76"/>
        <v>262</v>
      </c>
      <c r="W115" s="250">
        <f t="shared" si="76"/>
        <v>271</v>
      </c>
      <c r="X115" s="250">
        <f t="shared" si="76"/>
        <v>308</v>
      </c>
      <c r="Y115" s="250">
        <f t="shared" si="76"/>
        <v>323</v>
      </c>
      <c r="Z115" s="250">
        <f t="shared" ref="Z115" si="77">+Z81+Z82+Z86+Z92+Z94+Z95+Z98+Z99+Z100+Z105+Z106+Z107+Z108+Z102+Z89</f>
        <v>323</v>
      </c>
      <c r="AA115" s="250">
        <f>+AA81+AA82+AA86+AA92+AA94+AA95+AA98+AA99+AA100+AA105+AA106+AA107+AA108+AA102+AA89</f>
        <v>324</v>
      </c>
      <c r="AB115" s="250">
        <f>+AB81+AB82+AB86+AB92+AB94+AB95+AB98+AB99+AB100+AB105+AB106+AB107+AB108+AB102+AB89</f>
        <v>349</v>
      </c>
      <c r="AC115" s="250">
        <f>+AC81+AC82+AC86+AC92+AC94+AC95+AC98+AC99+AC100+AC105+AC106+AC107+AC108+AC102+AC89</f>
        <v>331</v>
      </c>
      <c r="AD115" s="264">
        <f>+AD81+AD82+AD86+AD92+AD94+AD95+AD98+AD99+AD100+AD105+AD106+AD107+AD108+AD102+AD89</f>
        <v>287</v>
      </c>
      <c r="AE115" s="252">
        <f>IF(AD115=0," ",IF(AH115&gt;20,(AD115-AC115)/AC115," "))</f>
        <v>-0.13293051359516617</v>
      </c>
      <c r="AF115" s="339">
        <f>IF(AD115=0," ",IF(AH115&gt;20,(AD115-Y115)/Y115," "))</f>
        <v>-0.11145510835913312</v>
      </c>
      <c r="AG115" s="252">
        <f>IF(AD115=0," ",(IF(AH115&gt;20,(AD115-T115)/T115," ")))</f>
        <v>2.1352313167259787E-2</v>
      </c>
      <c r="AH115" s="367">
        <f>IF(AB115&gt;0,AVERAGE(AB115:AD115),"  ")</f>
        <v>322.33333333333331</v>
      </c>
    </row>
    <row r="116" spans="1:42" ht="12" x14ac:dyDescent="0.2">
      <c r="A116" s="248" t="s">
        <v>112</v>
      </c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421"/>
      <c r="P116" s="421"/>
      <c r="Q116" s="481"/>
      <c r="R116" s="481">
        <v>0</v>
      </c>
      <c r="S116" s="481">
        <f t="shared" ref="S116:AB116" si="78">+S111+S109</f>
        <v>0</v>
      </c>
      <c r="T116" s="481">
        <f t="shared" si="78"/>
        <v>0</v>
      </c>
      <c r="U116" s="300">
        <f t="shared" si="78"/>
        <v>0</v>
      </c>
      <c r="V116" s="250">
        <f t="shared" si="78"/>
        <v>0</v>
      </c>
      <c r="W116" s="250">
        <f t="shared" si="78"/>
        <v>0</v>
      </c>
      <c r="X116" s="250">
        <f t="shared" si="78"/>
        <v>0</v>
      </c>
      <c r="Y116" s="250">
        <f t="shared" si="78"/>
        <v>0</v>
      </c>
      <c r="Z116" s="250">
        <f t="shared" si="78"/>
        <v>1</v>
      </c>
      <c r="AA116" s="250">
        <f t="shared" si="78"/>
        <v>2</v>
      </c>
      <c r="AB116" s="250">
        <f t="shared" si="78"/>
        <v>12</v>
      </c>
      <c r="AC116" s="250">
        <f>+AC111+AC109</f>
        <v>5</v>
      </c>
      <c r="AD116" s="264">
        <f>+AD111+AD109</f>
        <v>3</v>
      </c>
      <c r="AE116" s="252" t="str">
        <f t="shared" si="72"/>
        <v xml:space="preserve"> </v>
      </c>
      <c r="AF116" s="339" t="str">
        <f t="shared" si="73"/>
        <v xml:space="preserve"> </v>
      </c>
      <c r="AG116" s="252" t="str">
        <f t="shared" si="74"/>
        <v xml:space="preserve"> </v>
      </c>
      <c r="AH116" s="367">
        <f t="shared" si="75"/>
        <v>6.666666666666667</v>
      </c>
    </row>
    <row r="117" spans="1:42" ht="12" customHeight="1" x14ac:dyDescent="0.2">
      <c r="A117" s="248" t="s">
        <v>113</v>
      </c>
      <c r="B117" s="250">
        <f t="shared" ref="B117:Y117" si="79">+B87+B104</f>
        <v>0</v>
      </c>
      <c r="C117" s="250">
        <f t="shared" si="79"/>
        <v>0</v>
      </c>
      <c r="D117" s="250">
        <f t="shared" si="79"/>
        <v>0</v>
      </c>
      <c r="E117" s="250">
        <f t="shared" si="79"/>
        <v>0</v>
      </c>
      <c r="F117" s="250">
        <f t="shared" si="79"/>
        <v>0</v>
      </c>
      <c r="G117" s="250">
        <f t="shared" si="79"/>
        <v>0</v>
      </c>
      <c r="H117" s="250">
        <f t="shared" si="79"/>
        <v>0</v>
      </c>
      <c r="I117" s="250">
        <f t="shared" si="79"/>
        <v>0</v>
      </c>
      <c r="J117" s="250">
        <f t="shared" si="79"/>
        <v>0</v>
      </c>
      <c r="K117" s="250">
        <f t="shared" si="79"/>
        <v>0</v>
      </c>
      <c r="L117" s="250">
        <f t="shared" si="79"/>
        <v>0</v>
      </c>
      <c r="M117" s="250">
        <f t="shared" si="79"/>
        <v>0</v>
      </c>
      <c r="N117" s="250">
        <f t="shared" si="79"/>
        <v>0</v>
      </c>
      <c r="O117" s="421">
        <f t="shared" si="79"/>
        <v>0</v>
      </c>
      <c r="P117" s="421">
        <f t="shared" si="79"/>
        <v>0</v>
      </c>
      <c r="Q117" s="481">
        <f t="shared" si="79"/>
        <v>0</v>
      </c>
      <c r="R117" s="481">
        <f t="shared" si="79"/>
        <v>0</v>
      </c>
      <c r="S117" s="481">
        <f t="shared" si="79"/>
        <v>0</v>
      </c>
      <c r="T117" s="481">
        <f t="shared" si="79"/>
        <v>0</v>
      </c>
      <c r="U117" s="300">
        <f t="shared" si="79"/>
        <v>0</v>
      </c>
      <c r="V117" s="250">
        <f t="shared" si="79"/>
        <v>8</v>
      </c>
      <c r="W117" s="250">
        <f t="shared" si="79"/>
        <v>0</v>
      </c>
      <c r="X117" s="250">
        <f t="shared" si="79"/>
        <v>1</v>
      </c>
      <c r="Y117" s="250">
        <f t="shared" si="79"/>
        <v>13</v>
      </c>
      <c r="Z117" s="250">
        <f t="shared" ref="Z117:AB117" si="80">+Z87+Z104</f>
        <v>7</v>
      </c>
      <c r="AA117" s="250">
        <f t="shared" si="80"/>
        <v>15</v>
      </c>
      <c r="AB117" s="250">
        <f t="shared" si="80"/>
        <v>9</v>
      </c>
      <c r="AC117" s="250">
        <f>+AC87+AC104</f>
        <v>18</v>
      </c>
      <c r="AD117" s="264">
        <f>+AD87+AD104</f>
        <v>13</v>
      </c>
      <c r="AE117" s="252" t="str">
        <f t="shared" si="72"/>
        <v xml:space="preserve"> </v>
      </c>
      <c r="AF117" s="339" t="str">
        <f t="shared" si="73"/>
        <v xml:space="preserve"> </v>
      </c>
      <c r="AG117" s="252" t="str">
        <f t="shared" si="74"/>
        <v xml:space="preserve"> </v>
      </c>
      <c r="AH117" s="367">
        <f t="shared" si="75"/>
        <v>13.333333333333334</v>
      </c>
    </row>
    <row r="118" spans="1:42" ht="13.5" thickBot="1" x14ac:dyDescent="0.25">
      <c r="A118" s="196" t="s">
        <v>115</v>
      </c>
      <c r="B118" s="265">
        <f t="shared" ref="B118:W118" si="81">+B117+B116+B114+B115</f>
        <v>138</v>
      </c>
      <c r="C118" s="265">
        <f t="shared" si="81"/>
        <v>137</v>
      </c>
      <c r="D118" s="265">
        <f t="shared" si="81"/>
        <v>158</v>
      </c>
      <c r="E118" s="265">
        <f t="shared" si="81"/>
        <v>163</v>
      </c>
      <c r="F118" s="265">
        <f t="shared" si="81"/>
        <v>178</v>
      </c>
      <c r="G118" s="265">
        <f t="shared" si="81"/>
        <v>142</v>
      </c>
      <c r="H118" s="265">
        <f t="shared" si="81"/>
        <v>136</v>
      </c>
      <c r="I118" s="265">
        <f t="shared" si="81"/>
        <v>155</v>
      </c>
      <c r="J118" s="265">
        <f t="shared" si="81"/>
        <v>194</v>
      </c>
      <c r="K118" s="265">
        <f t="shared" si="81"/>
        <v>207</v>
      </c>
      <c r="L118" s="265">
        <f t="shared" si="81"/>
        <v>190</v>
      </c>
      <c r="M118" s="265">
        <f t="shared" si="81"/>
        <v>209</v>
      </c>
      <c r="N118" s="265">
        <f t="shared" si="81"/>
        <v>170</v>
      </c>
      <c r="O118" s="406">
        <f t="shared" si="81"/>
        <v>222</v>
      </c>
      <c r="P118" s="406">
        <f t="shared" si="81"/>
        <v>217</v>
      </c>
      <c r="Q118" s="467">
        <f t="shared" si="81"/>
        <v>220</v>
      </c>
      <c r="R118" s="467">
        <f t="shared" si="81"/>
        <v>233</v>
      </c>
      <c r="S118" s="467">
        <f t="shared" si="81"/>
        <v>253</v>
      </c>
      <c r="T118" s="467">
        <f t="shared" si="81"/>
        <v>297</v>
      </c>
      <c r="U118" s="291">
        <f t="shared" si="81"/>
        <v>271</v>
      </c>
      <c r="V118" s="60">
        <f t="shared" si="81"/>
        <v>278</v>
      </c>
      <c r="W118" s="60">
        <f t="shared" si="81"/>
        <v>272</v>
      </c>
      <c r="X118" s="60">
        <f t="shared" ref="X118:AD118" si="82">+X117+X116+X114+X115</f>
        <v>314</v>
      </c>
      <c r="Y118" s="60">
        <f t="shared" si="82"/>
        <v>357</v>
      </c>
      <c r="Z118" s="60">
        <f t="shared" si="82"/>
        <v>341</v>
      </c>
      <c r="AA118" s="60">
        <f t="shared" si="82"/>
        <v>351</v>
      </c>
      <c r="AB118" s="60">
        <f t="shared" si="82"/>
        <v>373</v>
      </c>
      <c r="AC118" s="60">
        <f t="shared" ref="AC118" si="83">+AC117+AC116+AC114+AC115</f>
        <v>366</v>
      </c>
      <c r="AD118" s="265">
        <f t="shared" si="82"/>
        <v>303</v>
      </c>
      <c r="AE118" s="336">
        <f t="shared" si="72"/>
        <v>-0.1721311475409836</v>
      </c>
      <c r="AF118" s="332">
        <f t="shared" si="73"/>
        <v>-0.15126050420168066</v>
      </c>
      <c r="AG118" s="337">
        <f t="shared" si="74"/>
        <v>2.0202020202020204E-2</v>
      </c>
      <c r="AH118" s="60">
        <f t="shared" si="75"/>
        <v>347.33333333333331</v>
      </c>
    </row>
    <row r="119" spans="1:42" ht="12.75" thickTop="1" thickBot="1" x14ac:dyDescent="0.25">
      <c r="AE119" s="29"/>
    </row>
    <row r="120" spans="1:42" ht="15" customHeight="1" thickTop="1" thickBot="1" x14ac:dyDescent="0.25">
      <c r="A120" s="253" t="s">
        <v>116</v>
      </c>
      <c r="B120" s="254">
        <f>+B118+B72</f>
        <v>1229</v>
      </c>
      <c r="C120" s="254">
        <f t="shared" ref="C120:AD120" si="84">+C118+C72</f>
        <v>1297</v>
      </c>
      <c r="D120" s="254">
        <f t="shared" si="84"/>
        <v>1359</v>
      </c>
      <c r="E120" s="254">
        <f t="shared" si="84"/>
        <v>1423</v>
      </c>
      <c r="F120" s="254">
        <f t="shared" si="84"/>
        <v>1347</v>
      </c>
      <c r="G120" s="254">
        <f t="shared" si="84"/>
        <v>1198</v>
      </c>
      <c r="H120" s="254">
        <f t="shared" si="84"/>
        <v>1421</v>
      </c>
      <c r="I120" s="254">
        <f t="shared" si="84"/>
        <v>1438</v>
      </c>
      <c r="J120" s="254">
        <f t="shared" si="84"/>
        <v>1558</v>
      </c>
      <c r="K120" s="254">
        <f t="shared" si="84"/>
        <v>1508</v>
      </c>
      <c r="L120" s="254">
        <f t="shared" si="84"/>
        <v>1503</v>
      </c>
      <c r="M120" s="254">
        <f t="shared" si="84"/>
        <v>1610</v>
      </c>
      <c r="N120" s="254">
        <f t="shared" si="84"/>
        <v>1609</v>
      </c>
      <c r="O120" s="422">
        <f t="shared" si="84"/>
        <v>1775</v>
      </c>
      <c r="P120" s="422">
        <f t="shared" si="84"/>
        <v>1825</v>
      </c>
      <c r="Q120" s="482">
        <f t="shared" si="84"/>
        <v>1881</v>
      </c>
      <c r="R120" s="482">
        <f t="shared" si="84"/>
        <v>1942</v>
      </c>
      <c r="S120" s="482">
        <f t="shared" si="84"/>
        <v>2040</v>
      </c>
      <c r="T120" s="482">
        <f t="shared" si="84"/>
        <v>2169</v>
      </c>
      <c r="U120" s="301">
        <f t="shared" si="84"/>
        <v>2170</v>
      </c>
      <c r="V120" s="254">
        <f t="shared" si="84"/>
        <v>2213</v>
      </c>
      <c r="W120" s="254">
        <f t="shared" si="84"/>
        <v>2239</v>
      </c>
      <c r="X120" s="254">
        <f t="shared" si="84"/>
        <v>2340</v>
      </c>
      <c r="Y120" s="254">
        <f t="shared" si="84"/>
        <v>2229</v>
      </c>
      <c r="Z120" s="254">
        <f t="shared" ref="Z120:AA120" si="85">+Z118+Z72</f>
        <v>2146</v>
      </c>
      <c r="AA120" s="254">
        <f t="shared" si="85"/>
        <v>2258</v>
      </c>
      <c r="AB120" s="254">
        <f>+AB118+AB72</f>
        <v>2215</v>
      </c>
      <c r="AC120" s="254">
        <f t="shared" ref="AC120" si="86">+AC118+AC72</f>
        <v>2030</v>
      </c>
      <c r="AD120" s="266">
        <f t="shared" si="84"/>
        <v>1908</v>
      </c>
      <c r="AE120" s="369">
        <f>IF(AD120=0," ",IF(AH120&gt;20,(AD120-AC120)/AC120," "))</f>
        <v>-6.0098522167487685E-2</v>
      </c>
      <c r="AF120" s="333">
        <f>IF(AD120=0," ",IF(AH120&gt;20,(AD120-Y120)/Y120," "))</f>
        <v>-0.14401076716016151</v>
      </c>
      <c r="AG120" s="370">
        <f>IF(AD120=0," ",(IF(AH120&gt;20,(AD120-T120)/T120," ")))</f>
        <v>-0.12033195020746888</v>
      </c>
      <c r="AH120" s="372">
        <f>IF(AB120&gt;0,AVERAGE(AB120:AD120),"  ")</f>
        <v>2051</v>
      </c>
      <c r="AI120" s="255"/>
      <c r="AJ120" s="255"/>
      <c r="AK120"/>
      <c r="AL120"/>
      <c r="AM120"/>
      <c r="AN120"/>
      <c r="AO120"/>
      <c r="AP120"/>
    </row>
    <row r="121" spans="1:42" ht="15" customHeight="1" thickTop="1" x14ac:dyDescent="0.2">
      <c r="AI121" s="255"/>
      <c r="AJ121" s="255"/>
      <c r="AK121"/>
      <c r="AL121"/>
      <c r="AM121"/>
      <c r="AN121"/>
      <c r="AO121"/>
      <c r="AP121"/>
    </row>
    <row r="122" spans="1:42" ht="12" thickBot="1" x14ac:dyDescent="0.25"/>
    <row r="123" spans="1:42" ht="12.75" thickTop="1" x14ac:dyDescent="0.2">
      <c r="A123" s="425" t="s">
        <v>130</v>
      </c>
      <c r="B123" s="426"/>
      <c r="C123" s="426"/>
      <c r="D123" s="427"/>
      <c r="E123" s="427"/>
      <c r="F123" s="426"/>
      <c r="G123" s="426"/>
      <c r="H123" s="428"/>
      <c r="I123" s="428"/>
      <c r="J123" s="428"/>
      <c r="K123" s="428"/>
      <c r="L123" s="429"/>
      <c r="M123" s="428"/>
      <c r="N123" s="428"/>
      <c r="O123" s="430"/>
      <c r="P123" s="430"/>
      <c r="Q123" s="430"/>
      <c r="R123" s="430"/>
      <c r="S123" s="430"/>
      <c r="T123" s="430"/>
      <c r="U123" s="430"/>
      <c r="V123" s="430"/>
      <c r="W123" s="430"/>
      <c r="X123" s="430"/>
      <c r="Y123" s="430"/>
      <c r="Z123" s="431"/>
      <c r="AA123" s="431"/>
      <c r="AB123" s="431"/>
      <c r="AC123" s="431"/>
      <c r="AD123" s="431"/>
      <c r="AE123" s="431"/>
      <c r="AF123" s="432"/>
      <c r="AG123" s="431"/>
      <c r="AH123" s="433"/>
    </row>
    <row r="124" spans="1:42" ht="12.75" thickBot="1" x14ac:dyDescent="0.25">
      <c r="A124" s="441" t="s">
        <v>131</v>
      </c>
      <c r="B124" s="434"/>
      <c r="C124" s="434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5"/>
      <c r="P124" s="435"/>
      <c r="Q124" s="483"/>
      <c r="R124" s="483">
        <v>0</v>
      </c>
      <c r="S124" s="483"/>
      <c r="T124" s="483">
        <v>0</v>
      </c>
      <c r="U124" s="436"/>
      <c r="V124" s="434"/>
      <c r="W124" s="434"/>
      <c r="X124" s="434"/>
      <c r="Y124" s="434">
        <v>1</v>
      </c>
      <c r="Z124" s="434">
        <v>9</v>
      </c>
      <c r="AA124" s="434">
        <v>4</v>
      </c>
      <c r="AB124" s="434">
        <v>17</v>
      </c>
      <c r="AC124" s="434">
        <v>10</v>
      </c>
      <c r="AD124" s="437">
        <v>14</v>
      </c>
      <c r="AE124" s="438" t="str">
        <f t="shared" ref="AE124" si="87">IF(AD124=0," ",IF(AH124&gt;20,(AD124-AC124)/AC124," "))</f>
        <v xml:space="preserve"> </v>
      </c>
      <c r="AF124" s="439" t="str">
        <f t="shared" ref="AF124" si="88">IF(AD124=0," ",IF(AH124&gt;20,(AD124-Y124)/Y124," "))</f>
        <v xml:space="preserve"> </v>
      </c>
      <c r="AG124" s="438" t="str">
        <f t="shared" ref="AG124" si="89">IF(AD124=0," ",(IF(AH124&gt;20,(AD124-T124)/T124," ")))</f>
        <v xml:space="preserve"> </v>
      </c>
      <c r="AH124" s="440">
        <f t="shared" ref="AH124" si="90">IF(AB124&gt;0,AVERAGE(AB124:AD124),"  ")</f>
        <v>13.666666666666666</v>
      </c>
    </row>
    <row r="125" spans="1:42" ht="12.75" thickTop="1" x14ac:dyDescent="0.2">
      <c r="T125" s="23"/>
      <c r="U125" s="23"/>
      <c r="V125" s="23"/>
      <c r="W125" s="23"/>
      <c r="X125" s="23"/>
      <c r="Y125" s="2"/>
      <c r="Z125" s="442"/>
      <c r="AA125" s="442"/>
      <c r="AB125" s="442"/>
      <c r="AC125" s="442"/>
      <c r="AD125" s="442"/>
      <c r="AE125" s="19"/>
      <c r="AF125" s="19"/>
      <c r="AG125" s="20"/>
    </row>
    <row r="126" spans="1:42" ht="12.75" thickBot="1" x14ac:dyDescent="0.25">
      <c r="T126" s="23"/>
      <c r="U126" s="23"/>
      <c r="V126" s="23"/>
      <c r="W126" s="23"/>
      <c r="X126" s="23"/>
      <c r="Y126" s="2"/>
      <c r="Z126" s="2"/>
      <c r="AA126" s="2"/>
      <c r="AB126" s="2"/>
      <c r="AC126" s="2"/>
      <c r="AD126" s="2"/>
      <c r="AE126" s="19"/>
      <c r="AF126" s="19"/>
      <c r="AG126" s="20"/>
    </row>
    <row r="127" spans="1:42" ht="11.25" customHeight="1" x14ac:dyDescent="0.2">
      <c r="P127" s="484"/>
      <c r="Q127" s="485"/>
      <c r="R127" s="485"/>
      <c r="T127" s="173"/>
      <c r="Y127" s="571" t="s">
        <v>157</v>
      </c>
      <c r="Z127" s="572"/>
      <c r="AA127" s="572"/>
      <c r="AB127" s="572"/>
      <c r="AC127" s="572"/>
      <c r="AD127" s="572"/>
      <c r="AE127" s="573"/>
      <c r="AF127" s="562" t="s">
        <v>65</v>
      </c>
      <c r="AG127" s="563"/>
      <c r="AH127" s="564"/>
      <c r="AJ127"/>
      <c r="AK127"/>
      <c r="AL127"/>
      <c r="AM127"/>
      <c r="AN127"/>
      <c r="AO127"/>
      <c r="AP127"/>
    </row>
    <row r="128" spans="1:42" ht="21.75" customHeight="1" x14ac:dyDescent="0.2">
      <c r="P128" s="484"/>
      <c r="Q128" s="485"/>
      <c r="R128" s="485"/>
      <c r="Y128" s="559" t="s">
        <v>64</v>
      </c>
      <c r="Z128" s="560"/>
      <c r="AA128" s="561"/>
      <c r="AB128" s="568" t="s">
        <v>154</v>
      </c>
      <c r="AC128" s="569"/>
      <c r="AD128" s="569"/>
      <c r="AE128" s="570"/>
      <c r="AF128" s="565"/>
      <c r="AG128" s="566"/>
      <c r="AH128" s="567"/>
      <c r="AJ128"/>
      <c r="AK128"/>
      <c r="AL128"/>
      <c r="AM128"/>
      <c r="AN128"/>
      <c r="AO128"/>
      <c r="AP128"/>
    </row>
    <row r="129" spans="16:42" x14ac:dyDescent="0.2">
      <c r="P129" s="484"/>
      <c r="Q129" s="485"/>
      <c r="R129" s="485"/>
      <c r="Y129" s="498" t="s">
        <v>28</v>
      </c>
      <c r="Z129" s="519"/>
      <c r="AA129" s="520"/>
      <c r="AB129" s="492" t="s">
        <v>2</v>
      </c>
      <c r="AC129" s="493"/>
      <c r="AD129" s="493" t="s">
        <v>32</v>
      </c>
      <c r="AE129" s="523"/>
      <c r="AF129" s="551" t="s">
        <v>140</v>
      </c>
      <c r="AG129" s="552"/>
      <c r="AH129" s="553"/>
      <c r="AJ129"/>
      <c r="AK129"/>
      <c r="AL129"/>
      <c r="AM129"/>
      <c r="AN129"/>
      <c r="AO129"/>
      <c r="AP129"/>
    </row>
    <row r="130" spans="16:42" x14ac:dyDescent="0.2">
      <c r="P130" s="484"/>
      <c r="Q130" s="485"/>
      <c r="R130" s="485"/>
      <c r="Y130" s="498" t="s">
        <v>141</v>
      </c>
      <c r="Z130" s="519"/>
      <c r="AA130" s="520"/>
      <c r="AB130" s="491" t="s">
        <v>140</v>
      </c>
      <c r="AC130" s="494"/>
      <c r="AD130" s="494" t="s">
        <v>168</v>
      </c>
      <c r="AE130" s="528"/>
      <c r="AF130" s="491" t="s">
        <v>59</v>
      </c>
      <c r="AG130" s="494"/>
      <c r="AH130" s="554"/>
      <c r="AJ130"/>
      <c r="AK130"/>
      <c r="AL130"/>
      <c r="AM130"/>
      <c r="AN130"/>
      <c r="AO130"/>
      <c r="AP130"/>
    </row>
    <row r="131" spans="16:42" ht="11.25" customHeight="1" x14ac:dyDescent="0.2">
      <c r="P131" s="484"/>
      <c r="Q131" s="485"/>
      <c r="R131" s="485"/>
      <c r="Y131" s="498" t="s">
        <v>12</v>
      </c>
      <c r="Z131" s="519"/>
      <c r="AA131" s="520"/>
      <c r="AB131" s="490" t="s">
        <v>59</v>
      </c>
      <c r="AC131" s="495"/>
      <c r="AD131" s="495"/>
      <c r="AE131" s="531"/>
      <c r="AF131" s="490" t="s">
        <v>14</v>
      </c>
      <c r="AG131" s="495"/>
      <c r="AH131" s="555"/>
      <c r="AJ131"/>
      <c r="AK131"/>
      <c r="AL131"/>
      <c r="AM131"/>
      <c r="AN131"/>
      <c r="AO131"/>
      <c r="AP131"/>
    </row>
    <row r="132" spans="16:42" x14ac:dyDescent="0.2">
      <c r="P132" s="484"/>
      <c r="Q132" s="485"/>
      <c r="R132" s="485"/>
      <c r="Y132" s="498" t="s">
        <v>30</v>
      </c>
      <c r="Z132" s="519"/>
      <c r="AA132" s="520"/>
      <c r="AB132" s="491" t="s">
        <v>152</v>
      </c>
      <c r="AC132" s="494"/>
      <c r="AD132" s="494"/>
      <c r="AE132" s="528"/>
      <c r="AF132" s="491"/>
      <c r="AG132" s="495"/>
      <c r="AH132" s="555"/>
      <c r="AJ132"/>
      <c r="AK132"/>
      <c r="AL132"/>
      <c r="AM132"/>
      <c r="AN132"/>
      <c r="AO132"/>
      <c r="AP132"/>
    </row>
    <row r="133" spans="16:42" ht="12" thickBot="1" x14ac:dyDescent="0.25">
      <c r="P133" s="484"/>
      <c r="Q133" s="485"/>
      <c r="R133" s="485"/>
      <c r="Y133" s="499" t="s">
        <v>146</v>
      </c>
      <c r="Z133" s="533"/>
      <c r="AA133" s="534"/>
      <c r="AB133" s="496" t="s">
        <v>23</v>
      </c>
      <c r="AC133" s="497"/>
      <c r="AD133" s="497"/>
      <c r="AE133" s="537"/>
      <c r="AF133" s="496"/>
      <c r="AG133" s="556"/>
      <c r="AH133" s="557"/>
      <c r="AJ133"/>
      <c r="AK133"/>
      <c r="AL133"/>
      <c r="AM133"/>
      <c r="AN133"/>
      <c r="AO133"/>
      <c r="AP133"/>
    </row>
    <row r="134" spans="16:42" x14ac:dyDescent="0.2">
      <c r="P134" s="484"/>
      <c r="Q134" s="485"/>
      <c r="R134" s="485"/>
      <c r="Y134" s="7" t="s">
        <v>36</v>
      </c>
      <c r="Z134" s="5" t="s">
        <v>120</v>
      </c>
      <c r="AA134" s="4"/>
      <c r="AB134" s="14"/>
      <c r="AC134" s="14"/>
      <c r="AD134" s="14"/>
      <c r="AE134" s="14"/>
      <c r="AF134" s="14"/>
      <c r="AG134" s="14"/>
      <c r="AH134" s="14"/>
      <c r="AI134" s="14"/>
      <c r="AO134"/>
      <c r="AP134"/>
    </row>
    <row r="135" spans="16:42" x14ac:dyDescent="0.2">
      <c r="P135" s="484"/>
      <c r="Q135" s="485"/>
      <c r="R135" s="485"/>
      <c r="Y135"/>
      <c r="Z135" s="8" t="s">
        <v>126</v>
      </c>
      <c r="AA135" s="4"/>
      <c r="AB135" s="14"/>
      <c r="AC135" s="14"/>
      <c r="AD135" s="14"/>
      <c r="AE135" s="14"/>
      <c r="AF135" s="14"/>
      <c r="AG135" s="14"/>
      <c r="AH135" s="14"/>
      <c r="AI135" s="14"/>
      <c r="AO135"/>
      <c r="AP135"/>
    </row>
    <row r="136" spans="16:42" x14ac:dyDescent="0.2">
      <c r="Y136"/>
      <c r="Z136" s="9" t="s">
        <v>38</v>
      </c>
      <c r="AA136" s="6"/>
      <c r="AB136" s="15"/>
      <c r="AC136" s="15"/>
      <c r="AD136" s="15"/>
      <c r="AE136" s="15"/>
      <c r="AF136" s="15"/>
      <c r="AG136" s="15"/>
      <c r="AH136" s="15"/>
      <c r="AI136" s="15"/>
      <c r="AO136"/>
      <c r="AP136"/>
    </row>
    <row r="137" spans="16:42" x14ac:dyDescent="0.2">
      <c r="Y137"/>
      <c r="Z137" s="10" t="s">
        <v>39</v>
      </c>
      <c r="AA137"/>
      <c r="AB137" s="16"/>
      <c r="AC137" s="16"/>
      <c r="AD137" s="16"/>
      <c r="AE137" s="16"/>
      <c r="AF137" s="16"/>
      <c r="AG137" s="16"/>
      <c r="AH137" s="16"/>
      <c r="AI137" s="16"/>
      <c r="AO137"/>
      <c r="AP137"/>
    </row>
    <row r="138" spans="16:42" x14ac:dyDescent="0.2">
      <c r="T138"/>
      <c r="U138" s="12"/>
      <c r="V138"/>
      <c r="W138" s="11"/>
      <c r="X138" s="11"/>
    </row>
    <row r="139" spans="16:42" x14ac:dyDescent="0.2">
      <c r="T139" s="373"/>
      <c r="U139" s="373"/>
      <c r="V139" s="373"/>
      <c r="W139" s="373"/>
      <c r="X139" s="373"/>
    </row>
  </sheetData>
  <sortState ref="A104:FS108">
    <sortCondition ref="A104:A108"/>
  </sortState>
  <mergeCells count="19">
    <mergeCell ref="AF76:AF77"/>
    <mergeCell ref="A74:AH74"/>
    <mergeCell ref="AG76:AG77"/>
    <mergeCell ref="Y128:AA128"/>
    <mergeCell ref="AF127:AH128"/>
    <mergeCell ref="AB128:AE128"/>
    <mergeCell ref="Y127:AE127"/>
    <mergeCell ref="A1:AH1"/>
    <mergeCell ref="A3:A4"/>
    <mergeCell ref="A6:AH6"/>
    <mergeCell ref="A5:AH5"/>
    <mergeCell ref="A7:AH7"/>
    <mergeCell ref="AE3:AE4"/>
    <mergeCell ref="AF3:AF4"/>
    <mergeCell ref="AG3:AG4"/>
    <mergeCell ref="AH3:AH4"/>
    <mergeCell ref="A76:A77"/>
    <mergeCell ref="A84:AH84"/>
    <mergeCell ref="AE76:AE77"/>
  </mergeCells>
  <phoneticPr fontId="0" type="noConversion"/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  <rowBreaks count="1" manualBreakCount="1">
    <brk id="73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9D8E-7106-42F2-8965-9420C909E6B2}">
  <dimension ref="A1:FU139"/>
  <sheetViews>
    <sheetView showGridLines="0" topLeftCell="A123" zoomScaleNormal="100" workbookViewId="0">
      <selection activeCell="AD154" sqref="AD154"/>
    </sheetView>
  </sheetViews>
  <sheetFormatPr defaultColWidth="10.6640625" defaultRowHeight="12" x14ac:dyDescent="0.2"/>
  <cols>
    <col min="1" max="1" width="45.83203125" style="29" customWidth="1"/>
    <col min="2" max="9" width="7.5" style="29" hidden="1" customWidth="1"/>
    <col min="10" max="10" width="7.5" style="168" hidden="1" customWidth="1"/>
    <col min="11" max="11" width="7.5" style="169" hidden="1" customWidth="1"/>
    <col min="12" max="14" width="7.5" style="170" hidden="1" customWidth="1"/>
    <col min="15" max="15" width="7.5" style="168" hidden="1" customWidth="1"/>
    <col min="16" max="16" width="7.5" style="171" hidden="1" customWidth="1"/>
    <col min="17" max="17" width="7.5" style="172" hidden="1" customWidth="1"/>
    <col min="18" max="18" width="7.33203125" style="172" hidden="1" customWidth="1"/>
    <col min="19" max="19" width="8.33203125" style="173" hidden="1" customWidth="1"/>
    <col min="20" max="20" width="8.33203125" style="172" customWidth="1"/>
    <col min="21" max="24" width="8.33203125" style="172" hidden="1" customWidth="1"/>
    <col min="25" max="30" width="8.33203125" style="172" customWidth="1"/>
    <col min="31" max="31" width="9.33203125" style="172" customWidth="1"/>
    <col min="32" max="34" width="9.33203125" style="29" customWidth="1"/>
    <col min="35" max="35" width="10.6640625" style="29"/>
    <col min="36" max="36" width="10.6640625" style="546"/>
    <col min="37" max="41" width="10.6640625" style="29"/>
    <col min="42" max="42" width="10.83203125" style="29" customWidth="1"/>
  </cols>
  <sheetData>
    <row r="1" spans="1:36" ht="15" customHeight="1" x14ac:dyDescent="0.2">
      <c r="A1" s="574" t="s">
        <v>158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</row>
    <row r="2" spans="1:36" ht="15" customHeight="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122"/>
      <c r="L2" s="123"/>
      <c r="M2" s="123"/>
      <c r="N2" s="123"/>
      <c r="O2" s="122"/>
      <c r="P2" s="124"/>
      <c r="Q2" s="122"/>
      <c r="R2" s="122"/>
      <c r="S2" s="125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1"/>
      <c r="AG2" s="121"/>
      <c r="AH2" s="121"/>
    </row>
    <row r="3" spans="1:36" ht="15" customHeight="1" x14ac:dyDescent="0.2">
      <c r="A3" s="575" t="s">
        <v>79</v>
      </c>
      <c r="B3" s="103"/>
      <c r="C3" s="126"/>
      <c r="D3" s="126"/>
      <c r="E3" s="103"/>
      <c r="F3" s="103"/>
      <c r="G3" s="126"/>
      <c r="H3" s="127"/>
      <c r="I3" s="127"/>
      <c r="J3" s="126"/>
      <c r="K3" s="128"/>
      <c r="L3" s="128"/>
      <c r="M3" s="128"/>
      <c r="N3" s="127"/>
      <c r="O3" s="383"/>
      <c r="P3" s="447"/>
      <c r="Q3" s="452"/>
      <c r="R3" s="452"/>
      <c r="S3" s="510"/>
      <c r="T3" s="452"/>
      <c r="U3" s="396"/>
      <c r="V3" s="131"/>
      <c r="W3" s="130"/>
      <c r="X3" s="129"/>
      <c r="Y3" s="129"/>
      <c r="Z3" s="130"/>
      <c r="AA3" s="130"/>
      <c r="AB3" s="131"/>
      <c r="AC3" s="130"/>
      <c r="AD3" s="132"/>
      <c r="AE3" s="586" t="s">
        <v>117</v>
      </c>
      <c r="AF3" s="588" t="s">
        <v>118</v>
      </c>
      <c r="AG3" s="586" t="s">
        <v>119</v>
      </c>
      <c r="AH3" s="590" t="s">
        <v>148</v>
      </c>
    </row>
    <row r="4" spans="1:36" ht="15" customHeight="1" x14ac:dyDescent="0.2">
      <c r="A4" s="576"/>
      <c r="B4" s="104" t="s">
        <v>97</v>
      </c>
      <c r="C4" s="105" t="s">
        <v>41</v>
      </c>
      <c r="D4" s="104" t="s">
        <v>51</v>
      </c>
      <c r="E4" s="105" t="s">
        <v>52</v>
      </c>
      <c r="F4" s="105" t="s">
        <v>53</v>
      </c>
      <c r="G4" s="104" t="s">
        <v>54</v>
      </c>
      <c r="H4" s="106" t="s">
        <v>55</v>
      </c>
      <c r="I4" s="107" t="s">
        <v>43</v>
      </c>
      <c r="J4" s="108" t="s">
        <v>44</v>
      </c>
      <c r="K4" s="108" t="s">
        <v>45</v>
      </c>
      <c r="L4" s="108" t="s">
        <v>46</v>
      </c>
      <c r="M4" s="108" t="s">
        <v>42</v>
      </c>
      <c r="N4" s="107" t="s">
        <v>56</v>
      </c>
      <c r="O4" s="384" t="s">
        <v>57</v>
      </c>
      <c r="P4" s="384" t="s">
        <v>60</v>
      </c>
      <c r="Q4" s="453" t="s">
        <v>63</v>
      </c>
      <c r="R4" s="453" t="s">
        <v>67</v>
      </c>
      <c r="S4" s="511" t="s">
        <v>68</v>
      </c>
      <c r="T4" s="543" t="s">
        <v>71</v>
      </c>
      <c r="U4" s="500" t="s">
        <v>72</v>
      </c>
      <c r="V4" s="24" t="s">
        <v>73</v>
      </c>
      <c r="W4" s="24" t="s">
        <v>74</v>
      </c>
      <c r="X4" s="109" t="s">
        <v>76</v>
      </c>
      <c r="Y4" s="109" t="s">
        <v>78</v>
      </c>
      <c r="Z4" s="24" t="s">
        <v>127</v>
      </c>
      <c r="AA4" s="24" t="s">
        <v>133</v>
      </c>
      <c r="AB4" s="24" t="s">
        <v>136</v>
      </c>
      <c r="AC4" s="24" t="s">
        <v>143</v>
      </c>
      <c r="AD4" s="110" t="s">
        <v>156</v>
      </c>
      <c r="AE4" s="587"/>
      <c r="AF4" s="589"/>
      <c r="AG4" s="587"/>
      <c r="AH4" s="591"/>
    </row>
    <row r="5" spans="1:36" ht="15" customHeight="1" x14ac:dyDescent="0.2">
      <c r="A5" s="580" t="s">
        <v>80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2"/>
    </row>
    <row r="6" spans="1:36" ht="15" customHeight="1" x14ac:dyDescent="0.2">
      <c r="A6" s="577" t="s">
        <v>81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9"/>
    </row>
    <row r="7" spans="1:36" ht="15" customHeight="1" x14ac:dyDescent="0.2">
      <c r="A7" s="583" t="s">
        <v>82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5"/>
      <c r="AJ7" s="546" t="s">
        <v>165</v>
      </c>
    </row>
    <row r="8" spans="1:36" ht="15" customHeight="1" x14ac:dyDescent="0.2">
      <c r="A8" s="486" t="s">
        <v>121</v>
      </c>
      <c r="B8" s="174"/>
      <c r="C8" s="174"/>
      <c r="D8" s="174"/>
      <c r="E8" s="174"/>
      <c r="F8" s="174"/>
      <c r="G8" s="174"/>
      <c r="H8" s="157"/>
      <c r="I8" s="157">
        <v>8</v>
      </c>
      <c r="J8" s="174">
        <v>9</v>
      </c>
      <c r="K8" s="174">
        <v>3</v>
      </c>
      <c r="L8" s="174">
        <v>7</v>
      </c>
      <c r="M8" s="174">
        <v>9</v>
      </c>
      <c r="N8" s="157">
        <v>11</v>
      </c>
      <c r="O8" s="385">
        <v>6</v>
      </c>
      <c r="P8" s="385">
        <v>10</v>
      </c>
      <c r="Q8" s="460">
        <v>10</v>
      </c>
      <c r="R8" s="460">
        <v>9</v>
      </c>
      <c r="S8" s="503">
        <v>6</v>
      </c>
      <c r="T8" s="460">
        <v>7</v>
      </c>
      <c r="U8" s="401">
        <v>6</v>
      </c>
      <c r="V8" s="156">
        <v>11</v>
      </c>
      <c r="W8" s="156">
        <v>10</v>
      </c>
      <c r="X8" s="157">
        <v>7</v>
      </c>
      <c r="Y8" s="157">
        <v>0</v>
      </c>
      <c r="Z8" s="156">
        <v>0</v>
      </c>
      <c r="AA8" s="156">
        <v>0</v>
      </c>
      <c r="AB8" s="156">
        <v>0</v>
      </c>
      <c r="AC8" s="156">
        <v>0</v>
      </c>
      <c r="AD8" s="175">
        <v>0</v>
      </c>
      <c r="AE8" s="487" t="str">
        <f>IF(AD8=0," ",IF(AH8&gt;20,(AD8-AC8)/AC8," "))</f>
        <v xml:space="preserve"> </v>
      </c>
      <c r="AF8" s="488" t="str">
        <f>IF(AD8=0," ",IF(AH8&gt;20,(AD8-Y8)/Y8," "))</f>
        <v xml:space="preserve"> </v>
      </c>
      <c r="AG8" s="489" t="str">
        <f>IF(AD8=0," ",(IF(AH8&gt;20,(AD8-T8)/T8," ")))</f>
        <v xml:space="preserve"> </v>
      </c>
      <c r="AH8" s="365" t="str">
        <f>IF(AB8&gt;0,AVERAGE(AB8:AD8),"  ")</f>
        <v xml:space="preserve">  </v>
      </c>
      <c r="AJ8" s="546">
        <f>RANK(AD8,($AD$8:$AD$12,$AD$14:$AD$15,$AD$18:$AD$36,$AD$40:$AD$51,$AD$54:$AD$62,$AD$65:$AD$69),0)</f>
        <v>47</v>
      </c>
    </row>
    <row r="9" spans="1:36" ht="15" customHeight="1" x14ac:dyDescent="0.25">
      <c r="A9" s="31" t="s">
        <v>12</v>
      </c>
      <c r="B9" s="133"/>
      <c r="C9" s="133"/>
      <c r="D9" s="133"/>
      <c r="E9" s="133"/>
      <c r="F9" s="133"/>
      <c r="G9" s="133"/>
      <c r="H9" s="22"/>
      <c r="I9" s="22"/>
      <c r="J9" s="133">
        <v>19</v>
      </c>
      <c r="K9" s="133">
        <v>18</v>
      </c>
      <c r="L9" s="133">
        <v>33</v>
      </c>
      <c r="M9" s="133">
        <v>43</v>
      </c>
      <c r="N9" s="22">
        <v>45</v>
      </c>
      <c r="O9" s="386">
        <v>68</v>
      </c>
      <c r="P9" s="386">
        <v>49</v>
      </c>
      <c r="Q9" s="454">
        <v>81</v>
      </c>
      <c r="R9" s="454">
        <v>90</v>
      </c>
      <c r="S9" s="504">
        <v>102</v>
      </c>
      <c r="T9" s="454">
        <v>110</v>
      </c>
      <c r="U9" s="397">
        <f>143+1</f>
        <v>144</v>
      </c>
      <c r="V9" s="134">
        <v>139</v>
      </c>
      <c r="W9" s="134">
        <v>128</v>
      </c>
      <c r="X9" s="22">
        <v>171</v>
      </c>
      <c r="Y9" s="22">
        <v>147</v>
      </c>
      <c r="Z9" s="134">
        <v>126</v>
      </c>
      <c r="AA9" s="134">
        <v>134</v>
      </c>
      <c r="AB9" s="134">
        <v>111</v>
      </c>
      <c r="AC9" s="134">
        <v>145</v>
      </c>
      <c r="AD9" s="135">
        <v>114</v>
      </c>
      <c r="AE9" s="343">
        <f t="shared" ref="AE9:AE16" si="0">IF(AD9=0," ",IF(AH9&gt;20,(AD9-AC9)/AC9," "))</f>
        <v>-0.21379310344827587</v>
      </c>
      <c r="AF9" s="344">
        <f t="shared" ref="AF9:AF16" si="1">IF(AD9=0," ",IF(AH9&gt;20,(AD9-Y9)/Y9," "))</f>
        <v>-0.22448979591836735</v>
      </c>
      <c r="AG9" s="345">
        <f t="shared" ref="AG9:AG16" si="2">IF(AD9=0," ",(IF(AH9&gt;20,(AD9-T9)/T9," ")))</f>
        <v>3.6363636363636362E-2</v>
      </c>
      <c r="AH9" s="211">
        <f t="shared" ref="AH9:AH16" si="3">IF(AB9&gt;0,AVERAGE(AB9:AD9),"  ")</f>
        <v>123.33333333333333</v>
      </c>
      <c r="AJ9" s="547">
        <f>RANK(AD9,($AD$8:$AD$12,$AD$14:$AD$15,$AD$18:$AD$36,$AD$40:$AD$51,$AD$54:$AD$62,$AD$65:$AD$69),0)</f>
        <v>3</v>
      </c>
    </row>
    <row r="10" spans="1:36" ht="15" customHeight="1" x14ac:dyDescent="0.2">
      <c r="A10" s="13" t="s">
        <v>77</v>
      </c>
      <c r="B10" s="139">
        <v>11</v>
      </c>
      <c r="C10" s="139">
        <v>15</v>
      </c>
      <c r="D10" s="139">
        <v>6</v>
      </c>
      <c r="E10" s="139">
        <v>9</v>
      </c>
      <c r="F10" s="139">
        <v>11</v>
      </c>
      <c r="G10" s="139">
        <v>9</v>
      </c>
      <c r="H10" s="27">
        <v>5</v>
      </c>
      <c r="I10" s="27">
        <v>10</v>
      </c>
      <c r="J10" s="139">
        <v>7</v>
      </c>
      <c r="K10" s="139">
        <v>7</v>
      </c>
      <c r="L10" s="139">
        <v>8</v>
      </c>
      <c r="M10" s="139">
        <v>6</v>
      </c>
      <c r="N10" s="27">
        <v>9</v>
      </c>
      <c r="O10" s="387">
        <v>9</v>
      </c>
      <c r="P10" s="387">
        <v>12</v>
      </c>
      <c r="Q10" s="455">
        <v>10</v>
      </c>
      <c r="R10" s="455">
        <v>10</v>
      </c>
      <c r="S10" s="505">
        <v>12</v>
      </c>
      <c r="T10" s="455">
        <v>15</v>
      </c>
      <c r="U10" s="398">
        <v>9</v>
      </c>
      <c r="V10" s="140">
        <v>12</v>
      </c>
      <c r="W10" s="140">
        <v>15</v>
      </c>
      <c r="X10" s="27">
        <v>11</v>
      </c>
      <c r="Y10" s="27">
        <v>15</v>
      </c>
      <c r="Z10" s="140">
        <v>13</v>
      </c>
      <c r="AA10" s="140">
        <v>16</v>
      </c>
      <c r="AB10" s="140">
        <v>14</v>
      </c>
      <c r="AC10" s="140">
        <v>11</v>
      </c>
      <c r="AD10" s="141">
        <v>13</v>
      </c>
      <c r="AE10" s="346" t="str">
        <f t="shared" si="0"/>
        <v xml:space="preserve"> </v>
      </c>
      <c r="AF10" s="347" t="str">
        <f t="shared" si="1"/>
        <v xml:space="preserve"> </v>
      </c>
      <c r="AG10" s="348" t="str">
        <f t="shared" si="2"/>
        <v xml:space="preserve"> </v>
      </c>
      <c r="AH10" s="364">
        <f t="shared" si="3"/>
        <v>12.666666666666666</v>
      </c>
      <c r="AJ10" s="546">
        <f>RANK(AD10,($AD$8:$AD$12,$AD$14:$AD$15,$AD$18:$AD$36,$AD$40:$AD$51,$AD$54:$AD$62,$AD$65:$AD$69),0)</f>
        <v>29</v>
      </c>
    </row>
    <row r="11" spans="1:36" ht="15" customHeight="1" x14ac:dyDescent="0.2">
      <c r="A11" s="31" t="s">
        <v>139</v>
      </c>
      <c r="B11" s="133"/>
      <c r="C11" s="133"/>
      <c r="D11" s="133"/>
      <c r="E11" s="133"/>
      <c r="F11" s="133"/>
      <c r="G11" s="133"/>
      <c r="H11" s="22"/>
      <c r="I11" s="22"/>
      <c r="J11" s="133"/>
      <c r="K11" s="133"/>
      <c r="L11" s="133"/>
      <c r="M11" s="133">
        <v>0</v>
      </c>
      <c r="N11" s="22"/>
      <c r="O11" s="386"/>
      <c r="P11" s="386"/>
      <c r="Q11" s="454"/>
      <c r="R11" s="454">
        <v>0</v>
      </c>
      <c r="S11" s="504">
        <v>0</v>
      </c>
      <c r="T11" s="454">
        <v>0</v>
      </c>
      <c r="U11" s="397"/>
      <c r="V11" s="134">
        <v>1</v>
      </c>
      <c r="W11" s="134">
        <v>15</v>
      </c>
      <c r="X11" s="22">
        <v>22</v>
      </c>
      <c r="Y11" s="22">
        <v>34</v>
      </c>
      <c r="Z11" s="134">
        <v>23</v>
      </c>
      <c r="AA11" s="134">
        <v>56</v>
      </c>
      <c r="AB11" s="134">
        <v>42</v>
      </c>
      <c r="AC11" s="134">
        <v>38</v>
      </c>
      <c r="AD11" s="135">
        <v>21</v>
      </c>
      <c r="AE11" s="343">
        <f t="shared" si="0"/>
        <v>-0.44736842105263158</v>
      </c>
      <c r="AF11" s="344">
        <f t="shared" si="1"/>
        <v>-0.38235294117647056</v>
      </c>
      <c r="AG11" s="345"/>
      <c r="AH11" s="211">
        <f t="shared" si="3"/>
        <v>33.666666666666664</v>
      </c>
      <c r="AJ11" s="546">
        <f>RANK(AD11,($AD$8:$AD$12,$AD$14:$AD$15,$AD$18:$AD$36,$AD$40:$AD$51,$AD$54:$AD$62,$AD$65:$AD$69),0)</f>
        <v>22</v>
      </c>
    </row>
    <row r="12" spans="1:36" ht="15" customHeight="1" x14ac:dyDescent="0.2">
      <c r="A12" s="13" t="s">
        <v>29</v>
      </c>
      <c r="B12" s="139">
        <v>14</v>
      </c>
      <c r="C12" s="139">
        <v>21</v>
      </c>
      <c r="D12" s="139">
        <v>19</v>
      </c>
      <c r="E12" s="139">
        <v>18</v>
      </c>
      <c r="F12" s="139">
        <v>17</v>
      </c>
      <c r="G12" s="139">
        <v>14</v>
      </c>
      <c r="H12" s="27">
        <v>7</v>
      </c>
      <c r="I12" s="27">
        <v>11</v>
      </c>
      <c r="J12" s="139">
        <v>7</v>
      </c>
      <c r="K12" s="139">
        <v>11</v>
      </c>
      <c r="L12" s="139">
        <v>10</v>
      </c>
      <c r="M12" s="139">
        <v>15</v>
      </c>
      <c r="N12" s="27">
        <v>24</v>
      </c>
      <c r="O12" s="387">
        <v>23</v>
      </c>
      <c r="P12" s="387">
        <v>27</v>
      </c>
      <c r="Q12" s="455">
        <v>23</v>
      </c>
      <c r="R12" s="455">
        <f>35+1</f>
        <v>36</v>
      </c>
      <c r="S12" s="505">
        <v>23</v>
      </c>
      <c r="T12" s="455">
        <v>31</v>
      </c>
      <c r="U12" s="398">
        <v>37</v>
      </c>
      <c r="V12" s="140">
        <v>37</v>
      </c>
      <c r="W12" s="140">
        <v>36</v>
      </c>
      <c r="X12" s="27">
        <v>29</v>
      </c>
      <c r="Y12" s="27">
        <v>27</v>
      </c>
      <c r="Z12" s="140">
        <v>20</v>
      </c>
      <c r="AA12" s="140">
        <v>22</v>
      </c>
      <c r="AB12" s="140">
        <v>23</v>
      </c>
      <c r="AC12" s="140">
        <v>30</v>
      </c>
      <c r="AD12" s="141">
        <v>30</v>
      </c>
      <c r="AE12" s="346">
        <f t="shared" si="0"/>
        <v>0</v>
      </c>
      <c r="AF12" s="347">
        <f t="shared" si="1"/>
        <v>0.1111111111111111</v>
      </c>
      <c r="AG12" s="348">
        <f t="shared" si="2"/>
        <v>-3.2258064516129031E-2</v>
      </c>
      <c r="AH12" s="364">
        <f t="shared" si="3"/>
        <v>27.666666666666668</v>
      </c>
      <c r="AJ12" s="546">
        <f>RANK(AD12,($AD$8:$AD$12,$AD$14:$AD$15,$AD$18:$AD$36,$AD$40:$AD$51,$AD$54:$AD$62,$AD$65:$AD$69),0)</f>
        <v>19</v>
      </c>
    </row>
    <row r="13" spans="1:36" ht="15" customHeight="1" x14ac:dyDescent="0.2">
      <c r="A13" s="102" t="s">
        <v>83</v>
      </c>
      <c r="B13" s="111">
        <f t="shared" ref="B13:AD13" si="4">SUM(B8:B12)</f>
        <v>25</v>
      </c>
      <c r="C13" s="111">
        <f t="shared" si="4"/>
        <v>36</v>
      </c>
      <c r="D13" s="111">
        <f t="shared" si="4"/>
        <v>25</v>
      </c>
      <c r="E13" s="111">
        <f t="shared" si="4"/>
        <v>27</v>
      </c>
      <c r="F13" s="111">
        <f t="shared" si="4"/>
        <v>28</v>
      </c>
      <c r="G13" s="111">
        <f t="shared" si="4"/>
        <v>23</v>
      </c>
      <c r="H13" s="111">
        <f t="shared" si="4"/>
        <v>12</v>
      </c>
      <c r="I13" s="111">
        <f t="shared" si="4"/>
        <v>29</v>
      </c>
      <c r="J13" s="111">
        <f t="shared" si="4"/>
        <v>42</v>
      </c>
      <c r="K13" s="111">
        <f t="shared" si="4"/>
        <v>39</v>
      </c>
      <c r="L13" s="111">
        <f t="shared" si="4"/>
        <v>58</v>
      </c>
      <c r="M13" s="111">
        <f t="shared" si="4"/>
        <v>73</v>
      </c>
      <c r="N13" s="111">
        <f t="shared" si="4"/>
        <v>89</v>
      </c>
      <c r="O13" s="388">
        <f t="shared" si="4"/>
        <v>106</v>
      </c>
      <c r="P13" s="388">
        <f t="shared" si="4"/>
        <v>98</v>
      </c>
      <c r="Q13" s="456">
        <f t="shared" si="4"/>
        <v>124</v>
      </c>
      <c r="R13" s="456">
        <f>SUM(R8:R12)</f>
        <v>145</v>
      </c>
      <c r="S13" s="456">
        <f t="shared" si="4"/>
        <v>143</v>
      </c>
      <c r="T13" s="456">
        <f t="shared" si="4"/>
        <v>163</v>
      </c>
      <c r="U13" s="287">
        <f t="shared" si="4"/>
        <v>196</v>
      </c>
      <c r="V13" s="111">
        <f t="shared" si="4"/>
        <v>200</v>
      </c>
      <c r="W13" s="111">
        <f t="shared" si="4"/>
        <v>204</v>
      </c>
      <c r="X13" s="111">
        <f t="shared" si="4"/>
        <v>240</v>
      </c>
      <c r="Y13" s="111">
        <f t="shared" si="4"/>
        <v>223</v>
      </c>
      <c r="Z13" s="111">
        <f t="shared" si="4"/>
        <v>182</v>
      </c>
      <c r="AA13" s="111">
        <f t="shared" si="4"/>
        <v>228</v>
      </c>
      <c r="AB13" s="111">
        <f t="shared" si="4"/>
        <v>190</v>
      </c>
      <c r="AC13" s="111">
        <f t="shared" si="4"/>
        <v>224</v>
      </c>
      <c r="AD13" s="424">
        <f t="shared" si="4"/>
        <v>178</v>
      </c>
      <c r="AE13" s="356">
        <f t="shared" si="0"/>
        <v>-0.20535714285714285</v>
      </c>
      <c r="AF13" s="356">
        <f t="shared" si="1"/>
        <v>-0.20179372197309417</v>
      </c>
      <c r="AG13" s="357">
        <f t="shared" si="2"/>
        <v>9.202453987730061E-2</v>
      </c>
      <c r="AH13" s="210">
        <f t="shared" si="3"/>
        <v>197.33333333333334</v>
      </c>
    </row>
    <row r="14" spans="1:36" ht="15" customHeight="1" x14ac:dyDescent="0.25">
      <c r="A14" s="163" t="s">
        <v>84</v>
      </c>
      <c r="B14" s="201">
        <v>61</v>
      </c>
      <c r="C14" s="201">
        <v>76</v>
      </c>
      <c r="D14" s="201">
        <v>55</v>
      </c>
      <c r="E14" s="201">
        <v>49</v>
      </c>
      <c r="F14" s="201">
        <v>48</v>
      </c>
      <c r="G14" s="201">
        <v>37</v>
      </c>
      <c r="H14" s="202">
        <v>55</v>
      </c>
      <c r="I14" s="202">
        <v>54</v>
      </c>
      <c r="J14" s="201">
        <v>56</v>
      </c>
      <c r="K14" s="201">
        <v>80</v>
      </c>
      <c r="L14" s="201">
        <v>78</v>
      </c>
      <c r="M14" s="201">
        <v>84</v>
      </c>
      <c r="N14" s="202">
        <v>68</v>
      </c>
      <c r="O14" s="389">
        <v>76</v>
      </c>
      <c r="P14" s="389">
        <v>83</v>
      </c>
      <c r="Q14" s="457">
        <v>70</v>
      </c>
      <c r="R14" s="457">
        <v>84</v>
      </c>
      <c r="S14" s="506">
        <v>87</v>
      </c>
      <c r="T14" s="457">
        <v>93</v>
      </c>
      <c r="U14" s="399">
        <v>86</v>
      </c>
      <c r="V14" s="201">
        <v>94</v>
      </c>
      <c r="W14" s="201">
        <v>90</v>
      </c>
      <c r="X14" s="202">
        <v>97</v>
      </c>
      <c r="Y14" s="202">
        <v>87</v>
      </c>
      <c r="Z14" s="201">
        <v>89</v>
      </c>
      <c r="AA14" s="201">
        <v>89</v>
      </c>
      <c r="AB14" s="201">
        <v>83</v>
      </c>
      <c r="AC14" s="201">
        <v>99</v>
      </c>
      <c r="AD14" s="143">
        <v>93</v>
      </c>
      <c r="AE14" s="358">
        <f t="shared" si="0"/>
        <v>-6.0606060606060608E-2</v>
      </c>
      <c r="AF14" s="358">
        <f t="shared" si="1"/>
        <v>6.8965517241379309E-2</v>
      </c>
      <c r="AG14" s="359">
        <f t="shared" si="2"/>
        <v>0</v>
      </c>
      <c r="AH14" s="216">
        <f t="shared" si="3"/>
        <v>91.666666666666671</v>
      </c>
      <c r="AJ14" s="547">
        <f>RANK(AD14,($AD$8:$AD$12,$AD$14:$AD$15,$AD$18:$AD$36,$AD$40:$AD$51,$AD$54:$AD$62,$AD$65:$AD$69),0)</f>
        <v>5</v>
      </c>
    </row>
    <row r="15" spans="1:36" ht="15" customHeight="1" x14ac:dyDescent="0.25">
      <c r="A15" s="203" t="s">
        <v>85</v>
      </c>
      <c r="B15" s="204">
        <v>59</v>
      </c>
      <c r="C15" s="204">
        <v>62</v>
      </c>
      <c r="D15" s="204">
        <v>72</v>
      </c>
      <c r="E15" s="204">
        <v>74</v>
      </c>
      <c r="F15" s="204">
        <v>67</v>
      </c>
      <c r="G15" s="204">
        <v>54</v>
      </c>
      <c r="H15" s="205">
        <v>74</v>
      </c>
      <c r="I15" s="205">
        <v>46</v>
      </c>
      <c r="J15" s="204">
        <v>59</v>
      </c>
      <c r="K15" s="204">
        <v>55</v>
      </c>
      <c r="L15" s="204">
        <v>61</v>
      </c>
      <c r="M15" s="204">
        <v>59</v>
      </c>
      <c r="N15" s="205">
        <v>56</v>
      </c>
      <c r="O15" s="390">
        <v>63</v>
      </c>
      <c r="P15" s="390">
        <v>61</v>
      </c>
      <c r="Q15" s="458">
        <v>61</v>
      </c>
      <c r="R15" s="458">
        <v>74</v>
      </c>
      <c r="S15" s="507">
        <f>91+2</f>
        <v>93</v>
      </c>
      <c r="T15" s="458">
        <v>74</v>
      </c>
      <c r="U15" s="400">
        <v>91</v>
      </c>
      <c r="V15" s="204">
        <v>82</v>
      </c>
      <c r="W15" s="204">
        <v>133</v>
      </c>
      <c r="X15" s="205">
        <v>133</v>
      </c>
      <c r="Y15" s="205">
        <v>113</v>
      </c>
      <c r="Z15" s="204">
        <v>130</v>
      </c>
      <c r="AA15" s="204">
        <v>137</v>
      </c>
      <c r="AB15" s="204">
        <v>127</v>
      </c>
      <c r="AC15" s="204">
        <v>103</v>
      </c>
      <c r="AD15" s="144">
        <v>101</v>
      </c>
      <c r="AE15" s="356">
        <f t="shared" si="0"/>
        <v>-1.9417475728155338E-2</v>
      </c>
      <c r="AF15" s="356">
        <f t="shared" si="1"/>
        <v>-0.10619469026548672</v>
      </c>
      <c r="AG15" s="357">
        <f t="shared" si="2"/>
        <v>0.36486486486486486</v>
      </c>
      <c r="AH15" s="210">
        <f t="shared" si="3"/>
        <v>110.33333333333333</v>
      </c>
      <c r="AJ15" s="547">
        <f>RANK(AD15,($AD$8:$AD$12,$AD$14:$AD$15,$AD$18:$AD$36,$AD$40:$AD$51,$AD$54:$AD$62,$AD$65:$AD$69),0)</f>
        <v>4</v>
      </c>
    </row>
    <row r="16" spans="1:36" ht="15" customHeight="1" thickBot="1" x14ac:dyDescent="0.25">
      <c r="A16" s="217" t="s">
        <v>86</v>
      </c>
      <c r="B16" s="218">
        <f t="shared" ref="B16:AD16" si="5">+B15+B14+B13</f>
        <v>145</v>
      </c>
      <c r="C16" s="218">
        <f t="shared" si="5"/>
        <v>174</v>
      </c>
      <c r="D16" s="218">
        <f t="shared" si="5"/>
        <v>152</v>
      </c>
      <c r="E16" s="218">
        <f t="shared" si="5"/>
        <v>150</v>
      </c>
      <c r="F16" s="218">
        <f t="shared" si="5"/>
        <v>143</v>
      </c>
      <c r="G16" s="218">
        <f t="shared" si="5"/>
        <v>114</v>
      </c>
      <c r="H16" s="218">
        <f t="shared" si="5"/>
        <v>141</v>
      </c>
      <c r="I16" s="218">
        <f t="shared" si="5"/>
        <v>129</v>
      </c>
      <c r="J16" s="218">
        <f t="shared" si="5"/>
        <v>157</v>
      </c>
      <c r="K16" s="218">
        <f t="shared" si="5"/>
        <v>174</v>
      </c>
      <c r="L16" s="218">
        <f t="shared" si="5"/>
        <v>197</v>
      </c>
      <c r="M16" s="218">
        <f t="shared" si="5"/>
        <v>216</v>
      </c>
      <c r="N16" s="218">
        <f t="shared" si="5"/>
        <v>213</v>
      </c>
      <c r="O16" s="391">
        <f t="shared" si="5"/>
        <v>245</v>
      </c>
      <c r="P16" s="391">
        <f t="shared" si="5"/>
        <v>242</v>
      </c>
      <c r="Q16" s="459">
        <f t="shared" si="5"/>
        <v>255</v>
      </c>
      <c r="R16" s="459">
        <f>+R15+R14+R13</f>
        <v>303</v>
      </c>
      <c r="S16" s="459">
        <f t="shared" si="5"/>
        <v>323</v>
      </c>
      <c r="T16" s="459">
        <f t="shared" si="5"/>
        <v>330</v>
      </c>
      <c r="U16" s="288">
        <f t="shared" si="5"/>
        <v>373</v>
      </c>
      <c r="V16" s="218">
        <f t="shared" si="5"/>
        <v>376</v>
      </c>
      <c r="W16" s="218">
        <f t="shared" si="5"/>
        <v>427</v>
      </c>
      <c r="X16" s="218">
        <f t="shared" si="5"/>
        <v>470</v>
      </c>
      <c r="Y16" s="218">
        <f t="shared" si="5"/>
        <v>423</v>
      </c>
      <c r="Z16" s="218">
        <f t="shared" si="5"/>
        <v>401</v>
      </c>
      <c r="AA16" s="218">
        <f t="shared" si="5"/>
        <v>454</v>
      </c>
      <c r="AB16" s="218">
        <f t="shared" si="5"/>
        <v>400</v>
      </c>
      <c r="AC16" s="218">
        <f t="shared" si="5"/>
        <v>426</v>
      </c>
      <c r="AD16" s="218">
        <f t="shared" si="5"/>
        <v>372</v>
      </c>
      <c r="AE16" s="360">
        <f t="shared" si="0"/>
        <v>-0.12676056338028169</v>
      </c>
      <c r="AF16" s="360">
        <f t="shared" si="1"/>
        <v>-0.12056737588652482</v>
      </c>
      <c r="AG16" s="360">
        <f t="shared" si="2"/>
        <v>0.12727272727272726</v>
      </c>
      <c r="AH16" s="305">
        <f t="shared" si="3"/>
        <v>399.33333333333331</v>
      </c>
    </row>
    <row r="17" spans="1:39" ht="15" customHeight="1" thickTop="1" x14ac:dyDescent="0.2">
      <c r="A17" s="119" t="s">
        <v>87</v>
      </c>
      <c r="B17" s="112"/>
      <c r="C17" s="112"/>
      <c r="D17" s="113"/>
      <c r="E17" s="113"/>
      <c r="F17" s="114"/>
      <c r="G17" s="114"/>
      <c r="H17" s="114"/>
      <c r="I17" s="114"/>
      <c r="J17" s="113"/>
      <c r="K17" s="113"/>
      <c r="L17" s="113"/>
      <c r="M17" s="113"/>
      <c r="N17" s="115"/>
      <c r="O17" s="115"/>
      <c r="P17" s="115"/>
      <c r="Q17" s="115"/>
      <c r="R17" s="115"/>
      <c r="S17" s="116"/>
      <c r="T17" s="116"/>
      <c r="U17" s="116"/>
      <c r="V17" s="116"/>
      <c r="W17" s="116"/>
      <c r="X17" s="117"/>
      <c r="Y17" s="117"/>
      <c r="Z17" s="118"/>
      <c r="AA17" s="118"/>
      <c r="AB17" s="118"/>
      <c r="AC17" s="118"/>
      <c r="AD17" s="118"/>
      <c r="AE17" s="304"/>
      <c r="AF17" s="304"/>
      <c r="AG17" s="304"/>
      <c r="AH17" s="329"/>
    </row>
    <row r="18" spans="1:39" ht="15" customHeight="1" x14ac:dyDescent="0.25">
      <c r="A18" s="17" t="s">
        <v>2</v>
      </c>
      <c r="B18" s="174">
        <v>27</v>
      </c>
      <c r="C18" s="174">
        <v>18</v>
      </c>
      <c r="D18" s="174">
        <v>28</v>
      </c>
      <c r="E18" s="174">
        <v>21</v>
      </c>
      <c r="F18" s="174">
        <v>17</v>
      </c>
      <c r="G18" s="174">
        <v>23</v>
      </c>
      <c r="H18" s="157">
        <v>27</v>
      </c>
      <c r="I18" s="157">
        <v>31</v>
      </c>
      <c r="J18" s="174">
        <v>37</v>
      </c>
      <c r="K18" s="174">
        <v>41</v>
      </c>
      <c r="L18" s="174">
        <v>27</v>
      </c>
      <c r="M18" s="174">
        <v>32</v>
      </c>
      <c r="N18" s="157">
        <v>18</v>
      </c>
      <c r="O18" s="385">
        <v>21</v>
      </c>
      <c r="P18" s="385">
        <v>16</v>
      </c>
      <c r="Q18" s="460">
        <v>10</v>
      </c>
      <c r="R18" s="460">
        <v>17</v>
      </c>
      <c r="S18" s="503">
        <v>17</v>
      </c>
      <c r="T18" s="460">
        <v>12</v>
      </c>
      <c r="U18" s="401">
        <v>7</v>
      </c>
      <c r="V18" s="156">
        <v>11</v>
      </c>
      <c r="W18" s="156">
        <v>6</v>
      </c>
      <c r="X18" s="157">
        <v>9</v>
      </c>
      <c r="Y18" s="157">
        <v>13</v>
      </c>
      <c r="Z18" s="156">
        <v>7</v>
      </c>
      <c r="AA18" s="156">
        <v>2</v>
      </c>
      <c r="AB18" s="156">
        <v>6</v>
      </c>
      <c r="AC18" s="156">
        <v>5</v>
      </c>
      <c r="AD18" s="175">
        <v>4</v>
      </c>
      <c r="AE18" s="343" t="str">
        <f t="shared" ref="AE18:AE52" si="6">IF(AD18=0," ",IF(AH18&gt;20,(AD18-AC18)/AC18," "))</f>
        <v xml:space="preserve"> </v>
      </c>
      <c r="AF18" s="344" t="str">
        <f t="shared" ref="AF18:AF52" si="7">IF(AD18=0," ",IF(AH18&gt;20,(AD18-Y18)/Y18," "))</f>
        <v xml:space="preserve"> </v>
      </c>
      <c r="AG18" s="345" t="str">
        <f t="shared" ref="AG18:AG52" si="8">IF(AD18=0," ",(IF(AH18&gt;20,(AD18-T18)/T18," ")))</f>
        <v xml:space="preserve"> </v>
      </c>
      <c r="AH18" s="211">
        <f t="shared" ref="AH18:AH52" si="9">IF(AB18&gt;0,AVERAGE(AB18:AD18),"  ")</f>
        <v>5</v>
      </c>
      <c r="AJ18" s="516">
        <f>RANK(AD18,($AD$8:$AD$12,$AD$14:$AD$15,$AD$18:$AD$36,$AD$40:$AD$51,$AD$54:$AD$62,$AD$65:$AD$69),0)</f>
        <v>40</v>
      </c>
    </row>
    <row r="19" spans="1:39" ht="15" customHeight="1" x14ac:dyDescent="0.2">
      <c r="A19" s="17" t="s">
        <v>40</v>
      </c>
      <c r="B19" s="133">
        <v>1</v>
      </c>
      <c r="C19" s="133">
        <v>3</v>
      </c>
      <c r="D19" s="133">
        <v>3</v>
      </c>
      <c r="E19" s="133">
        <v>0</v>
      </c>
      <c r="F19" s="133">
        <v>3</v>
      </c>
      <c r="G19" s="133">
        <v>2</v>
      </c>
      <c r="H19" s="22">
        <v>2</v>
      </c>
      <c r="I19" s="22">
        <v>2</v>
      </c>
      <c r="J19" s="133">
        <v>11</v>
      </c>
      <c r="K19" s="133">
        <v>15</v>
      </c>
      <c r="L19" s="133">
        <v>17</v>
      </c>
      <c r="M19" s="133">
        <v>25</v>
      </c>
      <c r="N19" s="22">
        <v>34</v>
      </c>
      <c r="O19" s="386">
        <v>40</v>
      </c>
      <c r="P19" s="386">
        <v>44</v>
      </c>
      <c r="Q19" s="454">
        <v>44</v>
      </c>
      <c r="R19" s="454">
        <v>56</v>
      </c>
      <c r="S19" s="504">
        <f>40+1</f>
        <v>41</v>
      </c>
      <c r="T19" s="454">
        <v>54</v>
      </c>
      <c r="U19" s="397">
        <v>39</v>
      </c>
      <c r="V19" s="134">
        <v>53</v>
      </c>
      <c r="W19" s="134">
        <v>43</v>
      </c>
      <c r="X19" s="22">
        <v>47</v>
      </c>
      <c r="Y19" s="22">
        <v>44</v>
      </c>
      <c r="Z19" s="134">
        <v>43</v>
      </c>
      <c r="AA19" s="134">
        <v>45</v>
      </c>
      <c r="AB19" s="134">
        <v>43</v>
      </c>
      <c r="AC19" s="134">
        <v>36</v>
      </c>
      <c r="AD19" s="135">
        <v>28</v>
      </c>
      <c r="AE19" s="343">
        <f t="shared" si="6"/>
        <v>-0.22222222222222221</v>
      </c>
      <c r="AF19" s="344">
        <f t="shared" si="7"/>
        <v>-0.36363636363636365</v>
      </c>
      <c r="AG19" s="345">
        <f t="shared" si="8"/>
        <v>-0.48148148148148145</v>
      </c>
      <c r="AH19" s="211">
        <f t="shared" si="9"/>
        <v>35.666666666666664</v>
      </c>
      <c r="AJ19" s="546">
        <f>RANK(AD19,($AD$8:$AD$12,$AD$14:$AD$15,$AD$18:$AD$36,$AD$40:$AD$51,$AD$54:$AD$62,$AD$65:$AD$69),0)</f>
        <v>20</v>
      </c>
    </row>
    <row r="20" spans="1:39" ht="15" customHeight="1" x14ac:dyDescent="0.25">
      <c r="A20" s="17" t="s">
        <v>141</v>
      </c>
      <c r="B20" s="133">
        <v>77</v>
      </c>
      <c r="C20" s="133">
        <v>97</v>
      </c>
      <c r="D20" s="133">
        <v>92</v>
      </c>
      <c r="E20" s="133">
        <v>95</v>
      </c>
      <c r="F20" s="133">
        <v>115</v>
      </c>
      <c r="G20" s="133">
        <v>94</v>
      </c>
      <c r="H20" s="22">
        <v>122</v>
      </c>
      <c r="I20" s="22">
        <v>129</v>
      </c>
      <c r="J20" s="133">
        <v>143</v>
      </c>
      <c r="K20" s="133">
        <v>135</v>
      </c>
      <c r="L20" s="133">
        <v>131</v>
      </c>
      <c r="M20" s="133">
        <v>142</v>
      </c>
      <c r="N20" s="22">
        <v>133</v>
      </c>
      <c r="O20" s="386">
        <v>155</v>
      </c>
      <c r="P20" s="386">
        <v>159</v>
      </c>
      <c r="Q20" s="454">
        <v>176</v>
      </c>
      <c r="R20" s="454">
        <v>138</v>
      </c>
      <c r="S20" s="504">
        <f>178+1</f>
        <v>179</v>
      </c>
      <c r="T20" s="454">
        <v>194</v>
      </c>
      <c r="U20" s="397">
        <f>182+3</f>
        <v>185</v>
      </c>
      <c r="V20" s="134">
        <v>162</v>
      </c>
      <c r="W20" s="134">
        <f>172+1</f>
        <v>173</v>
      </c>
      <c r="X20" s="22">
        <v>159</v>
      </c>
      <c r="Y20" s="22">
        <v>145</v>
      </c>
      <c r="Z20" s="134">
        <v>138</v>
      </c>
      <c r="AA20" s="134">
        <v>174</v>
      </c>
      <c r="AB20" s="134">
        <v>157</v>
      </c>
      <c r="AC20" s="134">
        <v>156</v>
      </c>
      <c r="AD20" s="135">
        <v>125</v>
      </c>
      <c r="AE20" s="343">
        <f t="shared" si="6"/>
        <v>-0.19871794871794871</v>
      </c>
      <c r="AF20" s="344">
        <f t="shared" si="7"/>
        <v>-0.13793103448275862</v>
      </c>
      <c r="AG20" s="345">
        <f t="shared" si="8"/>
        <v>-0.35567010309278352</v>
      </c>
      <c r="AH20" s="211">
        <f t="shared" si="9"/>
        <v>146</v>
      </c>
      <c r="AJ20" s="547">
        <f>RANK(AD20,($AD$8:$AD$12,$AD$14:$AD$15,$AD$18:$AD$36,$AD$40:$AD$51,$AD$54:$AD$62,$AD$65:$AD$69),0)</f>
        <v>2</v>
      </c>
    </row>
    <row r="21" spans="1:39" ht="15" customHeight="1" x14ac:dyDescent="0.2">
      <c r="A21" s="25" t="s">
        <v>7</v>
      </c>
      <c r="B21" s="176"/>
      <c r="C21" s="176"/>
      <c r="D21" s="176"/>
      <c r="E21" s="176"/>
      <c r="F21" s="176"/>
      <c r="G21" s="176"/>
      <c r="H21" s="177"/>
      <c r="I21" s="177">
        <v>4</v>
      </c>
      <c r="J21" s="176">
        <v>3</v>
      </c>
      <c r="K21" s="176">
        <v>11</v>
      </c>
      <c r="L21" s="176">
        <v>15</v>
      </c>
      <c r="M21" s="176">
        <v>12</v>
      </c>
      <c r="N21" s="177">
        <v>14</v>
      </c>
      <c r="O21" s="392">
        <v>14</v>
      </c>
      <c r="P21" s="392">
        <v>19</v>
      </c>
      <c r="Q21" s="461">
        <v>18</v>
      </c>
      <c r="R21" s="461">
        <v>26</v>
      </c>
      <c r="S21" s="508">
        <f>33+1</f>
        <v>34</v>
      </c>
      <c r="T21" s="461">
        <v>44</v>
      </c>
      <c r="U21" s="402">
        <f>40+1+3</f>
        <v>44</v>
      </c>
      <c r="V21" s="152">
        <v>41</v>
      </c>
      <c r="W21" s="152">
        <v>32</v>
      </c>
      <c r="X21" s="177">
        <v>36</v>
      </c>
      <c r="Y21" s="177">
        <v>33</v>
      </c>
      <c r="Z21" s="152">
        <v>23</v>
      </c>
      <c r="AA21" s="152">
        <v>33</v>
      </c>
      <c r="AB21" s="152">
        <v>27</v>
      </c>
      <c r="AC21" s="152">
        <v>26</v>
      </c>
      <c r="AD21" s="178">
        <v>14</v>
      </c>
      <c r="AE21" s="340">
        <f t="shared" si="6"/>
        <v>-0.46153846153846156</v>
      </c>
      <c r="AF21" s="341">
        <f t="shared" si="7"/>
        <v>-0.5757575757575758</v>
      </c>
      <c r="AG21" s="342">
        <f t="shared" si="8"/>
        <v>-0.68181818181818177</v>
      </c>
      <c r="AH21" s="363">
        <f t="shared" si="9"/>
        <v>22.333333333333332</v>
      </c>
      <c r="AJ21" s="546">
        <f>RANK(AD21,($AD$8:$AD$12,$AD$14:$AD$15,$AD$18:$AD$36,$AD$40:$AD$51,$AD$54:$AD$62,$AD$65:$AD$69),0)</f>
        <v>27</v>
      </c>
    </row>
    <row r="22" spans="1:39" ht="15" customHeight="1" x14ac:dyDescent="0.2">
      <c r="A22" s="17" t="s">
        <v>11</v>
      </c>
      <c r="B22" s="133">
        <v>35</v>
      </c>
      <c r="C22" s="133">
        <v>42</v>
      </c>
      <c r="D22" s="133">
        <v>31</v>
      </c>
      <c r="E22" s="133">
        <v>33</v>
      </c>
      <c r="F22" s="133">
        <v>31</v>
      </c>
      <c r="G22" s="133">
        <v>33</v>
      </c>
      <c r="H22" s="22">
        <v>42</v>
      </c>
      <c r="I22" s="22">
        <v>31</v>
      </c>
      <c r="J22" s="133">
        <v>38</v>
      </c>
      <c r="K22" s="133">
        <v>46</v>
      </c>
      <c r="L22" s="133">
        <v>45</v>
      </c>
      <c r="M22" s="133">
        <v>38</v>
      </c>
      <c r="N22" s="22">
        <v>45</v>
      </c>
      <c r="O22" s="386">
        <v>53</v>
      </c>
      <c r="P22" s="386">
        <v>46</v>
      </c>
      <c r="Q22" s="454">
        <v>64</v>
      </c>
      <c r="R22" s="454">
        <v>48</v>
      </c>
      <c r="S22" s="504">
        <f>60+2</f>
        <v>62</v>
      </c>
      <c r="T22" s="454">
        <v>54</v>
      </c>
      <c r="U22" s="397">
        <f>43+3</f>
        <v>46</v>
      </c>
      <c r="V22" s="134">
        <v>52</v>
      </c>
      <c r="W22" s="134">
        <f>50+4</f>
        <v>54</v>
      </c>
      <c r="X22" s="22">
        <v>50</v>
      </c>
      <c r="Y22" s="22">
        <v>44</v>
      </c>
      <c r="Z22" s="134">
        <v>37</v>
      </c>
      <c r="AA22" s="134">
        <v>56</v>
      </c>
      <c r="AB22" s="134">
        <v>44</v>
      </c>
      <c r="AC22" s="134">
        <v>31</v>
      </c>
      <c r="AD22" s="135">
        <v>43</v>
      </c>
      <c r="AE22" s="343">
        <f t="shared" si="6"/>
        <v>0.38709677419354838</v>
      </c>
      <c r="AF22" s="344">
        <f t="shared" si="7"/>
        <v>-2.2727272727272728E-2</v>
      </c>
      <c r="AG22" s="345">
        <f t="shared" si="8"/>
        <v>-0.20370370370370369</v>
      </c>
      <c r="AH22" s="211">
        <f t="shared" si="9"/>
        <v>39.333333333333336</v>
      </c>
      <c r="AJ22" s="546">
        <f>RANK(AD22,($AD$8:$AD$12,$AD$14:$AD$15,$AD$18:$AD$36,$AD$40:$AD$51,$AD$54:$AD$62,$AD$65:$AD$69),0)</f>
        <v>14</v>
      </c>
    </row>
    <row r="23" spans="1:39" ht="15" customHeight="1" x14ac:dyDescent="0.25">
      <c r="A23" s="17" t="s">
        <v>58</v>
      </c>
      <c r="B23" s="133"/>
      <c r="C23" s="133"/>
      <c r="D23" s="133"/>
      <c r="E23" s="133"/>
      <c r="F23" s="133"/>
      <c r="G23" s="133"/>
      <c r="H23" s="22"/>
      <c r="I23" s="22"/>
      <c r="J23" s="133"/>
      <c r="K23" s="133"/>
      <c r="L23" s="133"/>
      <c r="M23" s="133"/>
      <c r="N23" s="22"/>
      <c r="O23" s="386">
        <v>1</v>
      </c>
      <c r="P23" s="386">
        <v>2</v>
      </c>
      <c r="Q23" s="454">
        <v>2</v>
      </c>
      <c r="R23" s="454">
        <v>0</v>
      </c>
      <c r="S23" s="504">
        <v>1</v>
      </c>
      <c r="T23" s="454">
        <v>2</v>
      </c>
      <c r="U23" s="397">
        <v>2</v>
      </c>
      <c r="V23" s="134">
        <v>2</v>
      </c>
      <c r="W23" s="134">
        <v>4</v>
      </c>
      <c r="X23" s="22">
        <v>3</v>
      </c>
      <c r="Y23" s="22">
        <v>0</v>
      </c>
      <c r="Z23" s="134">
        <v>1</v>
      </c>
      <c r="AA23" s="134">
        <v>2</v>
      </c>
      <c r="AB23" s="134">
        <v>3</v>
      </c>
      <c r="AC23" s="134">
        <v>1</v>
      </c>
      <c r="AD23" s="135">
        <v>1</v>
      </c>
      <c r="AE23" s="343" t="str">
        <f t="shared" si="6"/>
        <v xml:space="preserve"> </v>
      </c>
      <c r="AF23" s="344" t="str">
        <f t="shared" si="7"/>
        <v xml:space="preserve"> </v>
      </c>
      <c r="AG23" s="345" t="str">
        <f t="shared" si="8"/>
        <v xml:space="preserve"> </v>
      </c>
      <c r="AH23" s="211">
        <f t="shared" si="9"/>
        <v>1.6666666666666667</v>
      </c>
      <c r="AJ23" s="516">
        <f>RANK(AD23,($AD$8:$AD$12,$AD$14:$AD$15,$AD$18:$AD$36,$AD$40:$AD$51,$AD$54:$AD$62,$AD$65:$AD$69),0)</f>
        <v>46</v>
      </c>
    </row>
    <row r="24" spans="1:39" ht="15" customHeight="1" x14ac:dyDescent="0.2">
      <c r="A24" s="18" t="s">
        <v>62</v>
      </c>
      <c r="B24" s="139"/>
      <c r="C24" s="139"/>
      <c r="D24" s="139"/>
      <c r="E24" s="139"/>
      <c r="F24" s="139"/>
      <c r="G24" s="139"/>
      <c r="H24" s="27"/>
      <c r="I24" s="27"/>
      <c r="J24" s="139"/>
      <c r="K24" s="139"/>
      <c r="L24" s="139"/>
      <c r="M24" s="139">
        <v>1</v>
      </c>
      <c r="N24" s="27">
        <v>4</v>
      </c>
      <c r="O24" s="387">
        <v>3</v>
      </c>
      <c r="P24" s="387">
        <v>6</v>
      </c>
      <c r="Q24" s="455">
        <v>17</v>
      </c>
      <c r="R24" s="455">
        <f>17+1</f>
        <v>18</v>
      </c>
      <c r="S24" s="505">
        <v>23</v>
      </c>
      <c r="T24" s="455">
        <v>21</v>
      </c>
      <c r="U24" s="398">
        <f>47+1</f>
        <v>48</v>
      </c>
      <c r="V24" s="140">
        <v>42</v>
      </c>
      <c r="W24" s="140">
        <f>42+2</f>
        <v>44</v>
      </c>
      <c r="X24" s="27">
        <v>40</v>
      </c>
      <c r="Y24" s="27">
        <v>53</v>
      </c>
      <c r="Z24" s="140">
        <v>47</v>
      </c>
      <c r="AA24" s="140">
        <v>49</v>
      </c>
      <c r="AB24" s="140">
        <v>51</v>
      </c>
      <c r="AC24" s="140">
        <v>38</v>
      </c>
      <c r="AD24" s="141">
        <v>33</v>
      </c>
      <c r="AE24" s="346">
        <f t="shared" si="6"/>
        <v>-0.13157894736842105</v>
      </c>
      <c r="AF24" s="347">
        <f t="shared" si="7"/>
        <v>-0.37735849056603776</v>
      </c>
      <c r="AG24" s="348">
        <f t="shared" si="8"/>
        <v>0.5714285714285714</v>
      </c>
      <c r="AH24" s="364">
        <f t="shared" si="9"/>
        <v>40.666666666666664</v>
      </c>
      <c r="AJ24" s="546">
        <f>RANK(AD24,($AD$8:$AD$12,$AD$14:$AD$15,$AD$18:$AD$36,$AD$40:$AD$51,$AD$54:$AD$62,$AD$65:$AD$69),0)</f>
        <v>17</v>
      </c>
    </row>
    <row r="25" spans="1:39" ht="15" customHeight="1" x14ac:dyDescent="0.25">
      <c r="A25" s="17" t="s">
        <v>14</v>
      </c>
      <c r="B25" s="133">
        <v>3</v>
      </c>
      <c r="C25" s="133">
        <v>2</v>
      </c>
      <c r="D25" s="133">
        <v>1</v>
      </c>
      <c r="E25" s="133">
        <v>2</v>
      </c>
      <c r="F25" s="133">
        <v>1</v>
      </c>
      <c r="G25" s="133">
        <v>3</v>
      </c>
      <c r="H25" s="22">
        <v>1</v>
      </c>
      <c r="I25" s="22">
        <v>3</v>
      </c>
      <c r="J25" s="133">
        <v>5</v>
      </c>
      <c r="K25" s="133">
        <v>1</v>
      </c>
      <c r="L25" s="133">
        <v>5</v>
      </c>
      <c r="M25" s="133">
        <v>2</v>
      </c>
      <c r="N25" s="22">
        <v>1</v>
      </c>
      <c r="O25" s="386">
        <v>3</v>
      </c>
      <c r="P25" s="386">
        <v>2</v>
      </c>
      <c r="Q25" s="454">
        <v>0</v>
      </c>
      <c r="R25" s="454">
        <v>2</v>
      </c>
      <c r="S25" s="504">
        <v>2</v>
      </c>
      <c r="T25" s="454">
        <v>2</v>
      </c>
      <c r="U25" s="397">
        <v>1</v>
      </c>
      <c r="V25" s="134">
        <v>4</v>
      </c>
      <c r="W25" s="134">
        <f>3+3</f>
        <v>6</v>
      </c>
      <c r="X25" s="22">
        <v>1</v>
      </c>
      <c r="Y25" s="22">
        <v>4</v>
      </c>
      <c r="Z25" s="134">
        <v>5</v>
      </c>
      <c r="AA25" s="134">
        <v>3</v>
      </c>
      <c r="AB25" s="134">
        <v>5</v>
      </c>
      <c r="AC25" s="134">
        <v>3</v>
      </c>
      <c r="AD25" s="135">
        <v>3</v>
      </c>
      <c r="AE25" s="343" t="str">
        <f t="shared" si="6"/>
        <v xml:space="preserve"> </v>
      </c>
      <c r="AF25" s="344" t="str">
        <f t="shared" si="7"/>
        <v xml:space="preserve"> </v>
      </c>
      <c r="AG25" s="345" t="str">
        <f t="shared" si="8"/>
        <v xml:space="preserve"> </v>
      </c>
      <c r="AH25" s="211">
        <f t="shared" si="9"/>
        <v>3.6666666666666665</v>
      </c>
      <c r="AJ25" s="516">
        <f>RANK(AD25,($AD$8:$AD$12,$AD$14:$AD$15,$AD$18:$AD$36,$AD$40:$AD$51,$AD$54:$AD$62,$AD$65:$AD$69),0)</f>
        <v>45</v>
      </c>
    </row>
    <row r="26" spans="1:39" ht="15" customHeight="1" x14ac:dyDescent="0.2">
      <c r="A26" s="17" t="s">
        <v>17</v>
      </c>
      <c r="B26" s="133">
        <v>43</v>
      </c>
      <c r="C26" s="133">
        <v>47</v>
      </c>
      <c r="D26" s="133">
        <v>50</v>
      </c>
      <c r="E26" s="133">
        <v>65</v>
      </c>
      <c r="F26" s="133">
        <v>47</v>
      </c>
      <c r="G26" s="133">
        <v>37</v>
      </c>
      <c r="H26" s="22">
        <v>33</v>
      </c>
      <c r="I26" s="22">
        <v>45</v>
      </c>
      <c r="J26" s="133">
        <v>52</v>
      </c>
      <c r="K26" s="133">
        <v>85</v>
      </c>
      <c r="L26" s="133">
        <v>72</v>
      </c>
      <c r="M26" s="133">
        <v>55</v>
      </c>
      <c r="N26" s="22">
        <v>67</v>
      </c>
      <c r="O26" s="386">
        <v>50</v>
      </c>
      <c r="P26" s="386">
        <v>60</v>
      </c>
      <c r="Q26" s="454">
        <v>70</v>
      </c>
      <c r="R26" s="454">
        <f>75+1</f>
        <v>76</v>
      </c>
      <c r="S26" s="504">
        <f>53+2</f>
        <v>55</v>
      </c>
      <c r="T26" s="454">
        <v>66</v>
      </c>
      <c r="U26" s="397">
        <f>50+3</f>
        <v>53</v>
      </c>
      <c r="V26" s="134">
        <v>47</v>
      </c>
      <c r="W26" s="134">
        <v>39</v>
      </c>
      <c r="X26" s="22">
        <v>42</v>
      </c>
      <c r="Y26" s="22">
        <v>46</v>
      </c>
      <c r="Z26" s="134">
        <v>37</v>
      </c>
      <c r="AA26" s="134">
        <v>31</v>
      </c>
      <c r="AB26" s="134">
        <v>35</v>
      </c>
      <c r="AC26" s="134">
        <v>35</v>
      </c>
      <c r="AD26" s="135">
        <v>35</v>
      </c>
      <c r="AE26" s="343">
        <f t="shared" si="6"/>
        <v>0</v>
      </c>
      <c r="AF26" s="344">
        <f t="shared" si="7"/>
        <v>-0.2391304347826087</v>
      </c>
      <c r="AG26" s="345">
        <f t="shared" si="8"/>
        <v>-0.46969696969696972</v>
      </c>
      <c r="AH26" s="211">
        <f t="shared" si="9"/>
        <v>35</v>
      </c>
      <c r="AJ26" s="546">
        <f>RANK(AD26,($AD$8:$AD$12,$AD$14:$AD$15,$AD$18:$AD$36,$AD$40:$AD$51,$AD$54:$AD$62,$AD$65:$AD$69),0)</f>
        <v>16</v>
      </c>
      <c r="AM26" s="151" t="s">
        <v>69</v>
      </c>
    </row>
    <row r="27" spans="1:39" ht="15" customHeight="1" x14ac:dyDescent="0.2">
      <c r="A27" s="17" t="s">
        <v>18</v>
      </c>
      <c r="B27" s="133"/>
      <c r="C27" s="133"/>
      <c r="D27" s="133"/>
      <c r="E27" s="133"/>
      <c r="F27" s="133"/>
      <c r="G27" s="133"/>
      <c r="H27" s="22"/>
      <c r="I27" s="22">
        <v>26</v>
      </c>
      <c r="J27" s="133">
        <v>53</v>
      </c>
      <c r="K27" s="133">
        <v>63</v>
      </c>
      <c r="L27" s="133">
        <v>55</v>
      </c>
      <c r="M27" s="133">
        <v>58</v>
      </c>
      <c r="N27" s="22">
        <v>61</v>
      </c>
      <c r="O27" s="386">
        <v>71</v>
      </c>
      <c r="P27" s="386">
        <v>67</v>
      </c>
      <c r="Q27" s="454">
        <v>52</v>
      </c>
      <c r="R27" s="454">
        <v>66</v>
      </c>
      <c r="S27" s="504">
        <v>67</v>
      </c>
      <c r="T27" s="454">
        <v>53</v>
      </c>
      <c r="U27" s="397">
        <v>51</v>
      </c>
      <c r="V27" s="134">
        <v>58</v>
      </c>
      <c r="W27" s="134">
        <v>56</v>
      </c>
      <c r="X27" s="22">
        <v>64</v>
      </c>
      <c r="Y27" s="22">
        <v>54</v>
      </c>
      <c r="Z27" s="134">
        <v>55</v>
      </c>
      <c r="AA27" s="134">
        <v>66</v>
      </c>
      <c r="AB27" s="134">
        <v>50</v>
      </c>
      <c r="AC27" s="134">
        <v>43</v>
      </c>
      <c r="AD27" s="135">
        <v>64</v>
      </c>
      <c r="AE27" s="343">
        <f t="shared" si="6"/>
        <v>0.48837209302325579</v>
      </c>
      <c r="AF27" s="344">
        <f t="shared" si="7"/>
        <v>0.18518518518518517</v>
      </c>
      <c r="AG27" s="345">
        <f t="shared" si="8"/>
        <v>0.20754716981132076</v>
      </c>
      <c r="AH27" s="211">
        <f t="shared" si="9"/>
        <v>52.333333333333336</v>
      </c>
      <c r="AJ27" s="546">
        <f>RANK(AD27,($AD$8:$AD$12,$AD$14:$AD$15,$AD$18:$AD$36,$AD$40:$AD$51,$AD$54:$AD$62,$AD$65:$AD$69),0)</f>
        <v>9</v>
      </c>
      <c r="AM27" s="151"/>
    </row>
    <row r="28" spans="1:39" ht="15" customHeight="1" x14ac:dyDescent="0.2">
      <c r="A28" s="17" t="s">
        <v>19</v>
      </c>
      <c r="B28" s="133"/>
      <c r="C28" s="133"/>
      <c r="D28" s="133"/>
      <c r="E28" s="133"/>
      <c r="F28" s="133"/>
      <c r="G28" s="133"/>
      <c r="H28" s="22"/>
      <c r="I28" s="22"/>
      <c r="J28" s="133"/>
      <c r="K28" s="133"/>
      <c r="L28" s="133">
        <v>1</v>
      </c>
      <c r="M28" s="133">
        <v>6</v>
      </c>
      <c r="N28" s="22">
        <v>9</v>
      </c>
      <c r="O28" s="386">
        <v>12</v>
      </c>
      <c r="P28" s="386">
        <v>11</v>
      </c>
      <c r="Q28" s="454">
        <v>11</v>
      </c>
      <c r="R28" s="454">
        <f>21+2</f>
        <v>23</v>
      </c>
      <c r="S28" s="504">
        <f>25+2</f>
        <v>27</v>
      </c>
      <c r="T28" s="454">
        <v>16</v>
      </c>
      <c r="U28" s="397">
        <f>17+1</f>
        <v>18</v>
      </c>
      <c r="V28" s="134">
        <v>15</v>
      </c>
      <c r="W28" s="134">
        <f>12+1</f>
        <v>13</v>
      </c>
      <c r="X28" s="22">
        <v>15</v>
      </c>
      <c r="Y28" s="22">
        <v>17</v>
      </c>
      <c r="Z28" s="134">
        <v>19</v>
      </c>
      <c r="AA28" s="134">
        <v>23</v>
      </c>
      <c r="AB28" s="134">
        <v>13</v>
      </c>
      <c r="AC28" s="134">
        <v>12</v>
      </c>
      <c r="AD28" s="135">
        <v>12</v>
      </c>
      <c r="AE28" s="343" t="str">
        <f t="shared" si="6"/>
        <v xml:space="preserve"> </v>
      </c>
      <c r="AF28" s="344" t="str">
        <f t="shared" si="7"/>
        <v xml:space="preserve"> </v>
      </c>
      <c r="AG28" s="345" t="str">
        <f t="shared" si="8"/>
        <v xml:space="preserve"> </v>
      </c>
      <c r="AH28" s="211">
        <f t="shared" si="9"/>
        <v>12.333333333333334</v>
      </c>
      <c r="AJ28" s="546">
        <f>RANK(AD28,($AD$8:$AD$12,$AD$14:$AD$15,$AD$18:$AD$36,$AD$40:$AD$51,$AD$54:$AD$62,$AD$65:$AD$69),0)</f>
        <v>31</v>
      </c>
      <c r="AM28" s="151" t="s">
        <v>70</v>
      </c>
    </row>
    <row r="29" spans="1:39" ht="15" hidden="1" customHeight="1" x14ac:dyDescent="0.2">
      <c r="A29" s="17" t="s">
        <v>47</v>
      </c>
      <c r="B29" s="133">
        <v>79</v>
      </c>
      <c r="C29" s="133">
        <v>83</v>
      </c>
      <c r="D29" s="133">
        <v>66</v>
      </c>
      <c r="E29" s="133">
        <v>75</v>
      </c>
      <c r="F29" s="133">
        <v>62</v>
      </c>
      <c r="G29" s="133">
        <v>65</v>
      </c>
      <c r="H29" s="22">
        <v>69</v>
      </c>
      <c r="I29" s="22">
        <v>52</v>
      </c>
      <c r="J29" s="133">
        <v>12</v>
      </c>
      <c r="K29" s="133">
        <v>2</v>
      </c>
      <c r="L29" s="133">
        <v>0</v>
      </c>
      <c r="M29" s="133">
        <v>1</v>
      </c>
      <c r="N29" s="22"/>
      <c r="O29" s="386"/>
      <c r="P29" s="386"/>
      <c r="Q29" s="454"/>
      <c r="R29" s="454"/>
      <c r="S29" s="504"/>
      <c r="T29" s="454"/>
      <c r="U29" s="397"/>
      <c r="V29" s="134"/>
      <c r="W29" s="134"/>
      <c r="X29" s="22"/>
      <c r="Y29" s="22"/>
      <c r="Z29" s="134"/>
      <c r="AA29" s="134"/>
      <c r="AB29" s="134"/>
      <c r="AC29" s="134"/>
      <c r="AD29" s="135"/>
      <c r="AE29" s="343" t="str">
        <f t="shared" si="6"/>
        <v xml:space="preserve"> </v>
      </c>
      <c r="AF29" s="344" t="str">
        <f t="shared" si="7"/>
        <v xml:space="preserve"> </v>
      </c>
      <c r="AG29" s="345" t="str">
        <f t="shared" si="8"/>
        <v xml:space="preserve"> </v>
      </c>
      <c r="AH29" s="211" t="str">
        <f t="shared" si="9"/>
        <v xml:space="preserve">  </v>
      </c>
      <c r="AJ29" s="546">
        <f>RANK(AD29,($AD$8:$AD$12,$AD$14:$AD$15,$AD$18:$AD$36,$AD$40:$AD$51,$AD$54:$AD$62,$AD$65:$AD$69),0)</f>
        <v>47</v>
      </c>
    </row>
    <row r="30" spans="1:39" ht="15" customHeight="1" x14ac:dyDescent="0.25">
      <c r="A30" s="179" t="s">
        <v>23</v>
      </c>
      <c r="B30" s="176">
        <v>2</v>
      </c>
      <c r="C30" s="176">
        <v>7</v>
      </c>
      <c r="D30" s="176">
        <v>6</v>
      </c>
      <c r="E30" s="176">
        <v>5</v>
      </c>
      <c r="F30" s="176">
        <v>4</v>
      </c>
      <c r="G30" s="176">
        <v>1</v>
      </c>
      <c r="H30" s="177">
        <v>5</v>
      </c>
      <c r="I30" s="177">
        <v>8</v>
      </c>
      <c r="J30" s="176">
        <v>9</v>
      </c>
      <c r="K30" s="176">
        <v>2</v>
      </c>
      <c r="L30" s="176">
        <v>5</v>
      </c>
      <c r="M30" s="176">
        <v>6</v>
      </c>
      <c r="N30" s="177">
        <v>2</v>
      </c>
      <c r="O30" s="392">
        <v>6</v>
      </c>
      <c r="P30" s="392">
        <v>7</v>
      </c>
      <c r="Q30" s="461">
        <v>9</v>
      </c>
      <c r="R30" s="461">
        <v>7</v>
      </c>
      <c r="S30" s="508">
        <v>10</v>
      </c>
      <c r="T30" s="461">
        <v>5</v>
      </c>
      <c r="U30" s="402">
        <v>9</v>
      </c>
      <c r="V30" s="152">
        <v>18</v>
      </c>
      <c r="W30" s="152">
        <v>8</v>
      </c>
      <c r="X30" s="177">
        <v>10</v>
      </c>
      <c r="Y30" s="177">
        <v>12</v>
      </c>
      <c r="Z30" s="152">
        <v>13</v>
      </c>
      <c r="AA30" s="152">
        <v>7</v>
      </c>
      <c r="AB30" s="152">
        <v>18</v>
      </c>
      <c r="AC30" s="152">
        <v>5</v>
      </c>
      <c r="AD30" s="178">
        <v>4</v>
      </c>
      <c r="AE30" s="340" t="str">
        <f t="shared" si="6"/>
        <v xml:space="preserve"> </v>
      </c>
      <c r="AF30" s="341" t="str">
        <f t="shared" si="7"/>
        <v xml:space="preserve"> </v>
      </c>
      <c r="AG30" s="342" t="str">
        <f t="shared" si="8"/>
        <v xml:space="preserve"> </v>
      </c>
      <c r="AH30" s="363">
        <f t="shared" si="9"/>
        <v>9</v>
      </c>
      <c r="AJ30" s="516">
        <f>RANK(AD30,($AD$8:$AD$12,$AD$14:$AD$15,$AD$18:$AD$36,$AD$40:$AD$51,$AD$54:$AD$62,$AD$65:$AD$69),0)</f>
        <v>40</v>
      </c>
    </row>
    <row r="31" spans="1:39" ht="15" customHeight="1" x14ac:dyDescent="0.2">
      <c r="A31" s="1" t="s">
        <v>24</v>
      </c>
      <c r="B31" s="133">
        <v>11</v>
      </c>
      <c r="C31" s="133">
        <v>7</v>
      </c>
      <c r="D31" s="133">
        <v>10</v>
      </c>
      <c r="E31" s="133">
        <v>11</v>
      </c>
      <c r="F31" s="133">
        <v>12</v>
      </c>
      <c r="G31" s="133">
        <v>6</v>
      </c>
      <c r="H31" s="22">
        <v>9</v>
      </c>
      <c r="I31" s="22">
        <v>22</v>
      </c>
      <c r="J31" s="133">
        <v>16</v>
      </c>
      <c r="K31" s="133">
        <v>17</v>
      </c>
      <c r="L31" s="133">
        <v>4</v>
      </c>
      <c r="M31" s="133">
        <v>18</v>
      </c>
      <c r="N31" s="22">
        <v>14</v>
      </c>
      <c r="O31" s="386">
        <v>19</v>
      </c>
      <c r="P31" s="386">
        <v>14</v>
      </c>
      <c r="Q31" s="454">
        <v>14</v>
      </c>
      <c r="R31" s="454">
        <v>12</v>
      </c>
      <c r="S31" s="504">
        <f>7+1</f>
        <v>8</v>
      </c>
      <c r="T31" s="454">
        <v>9</v>
      </c>
      <c r="U31" s="397">
        <v>11</v>
      </c>
      <c r="V31" s="134">
        <v>8</v>
      </c>
      <c r="W31" s="134">
        <f>1+1</f>
        <v>2</v>
      </c>
      <c r="X31" s="22">
        <v>5</v>
      </c>
      <c r="Y31" s="22">
        <v>4</v>
      </c>
      <c r="Z31" s="134">
        <v>7</v>
      </c>
      <c r="AA31" s="134">
        <v>3</v>
      </c>
      <c r="AB31" s="134">
        <v>5</v>
      </c>
      <c r="AC31" s="134">
        <v>3</v>
      </c>
      <c r="AD31" s="135">
        <v>10</v>
      </c>
      <c r="AE31" s="343" t="str">
        <f t="shared" si="6"/>
        <v xml:space="preserve"> </v>
      </c>
      <c r="AF31" s="344" t="str">
        <f t="shared" si="7"/>
        <v xml:space="preserve"> </v>
      </c>
      <c r="AG31" s="345" t="str">
        <f t="shared" si="8"/>
        <v xml:space="preserve"> </v>
      </c>
      <c r="AH31" s="211">
        <f t="shared" si="9"/>
        <v>6</v>
      </c>
      <c r="AJ31" s="546">
        <f>RANK(AD31,($AD$8:$AD$12,$AD$14:$AD$15,$AD$18:$AD$36,$AD$40:$AD$51,$AD$54:$AD$62,$AD$65:$AD$69),0)</f>
        <v>32</v>
      </c>
    </row>
    <row r="32" spans="1:39" ht="15" customHeight="1" x14ac:dyDescent="0.2">
      <c r="A32" s="1" t="s">
        <v>27</v>
      </c>
      <c r="B32" s="133">
        <v>22</v>
      </c>
      <c r="C32" s="133">
        <v>27</v>
      </c>
      <c r="D32" s="133">
        <v>27</v>
      </c>
      <c r="E32" s="133">
        <v>25</v>
      </c>
      <c r="F32" s="133">
        <v>25</v>
      </c>
      <c r="G32" s="133">
        <v>28</v>
      </c>
      <c r="H32" s="22">
        <v>33</v>
      </c>
      <c r="I32" s="22">
        <v>25</v>
      </c>
      <c r="J32" s="133">
        <v>25</v>
      </c>
      <c r="K32" s="133">
        <v>25</v>
      </c>
      <c r="L32" s="133">
        <v>31</v>
      </c>
      <c r="M32" s="133">
        <v>30</v>
      </c>
      <c r="N32" s="22">
        <v>33</v>
      </c>
      <c r="O32" s="386">
        <v>26</v>
      </c>
      <c r="P32" s="386">
        <v>32</v>
      </c>
      <c r="Q32" s="454">
        <v>28</v>
      </c>
      <c r="R32" s="454">
        <v>34</v>
      </c>
      <c r="S32" s="504">
        <f>34+1</f>
        <v>35</v>
      </c>
      <c r="T32" s="454">
        <v>37</v>
      </c>
      <c r="U32" s="397">
        <f>33+1</f>
        <v>34</v>
      </c>
      <c r="V32" s="134">
        <v>33</v>
      </c>
      <c r="W32" s="134">
        <f>20+1</f>
        <v>21</v>
      </c>
      <c r="X32" s="22">
        <v>23</v>
      </c>
      <c r="Y32" s="22">
        <v>38</v>
      </c>
      <c r="Z32" s="134">
        <v>34</v>
      </c>
      <c r="AA32" s="134">
        <v>32</v>
      </c>
      <c r="AB32" s="134">
        <v>37</v>
      </c>
      <c r="AC32" s="134">
        <v>17</v>
      </c>
      <c r="AD32" s="135">
        <v>26</v>
      </c>
      <c r="AE32" s="343">
        <f t="shared" si="6"/>
        <v>0.52941176470588236</v>
      </c>
      <c r="AF32" s="344">
        <f t="shared" si="7"/>
        <v>-0.31578947368421051</v>
      </c>
      <c r="AG32" s="345">
        <f t="shared" si="8"/>
        <v>-0.29729729729729731</v>
      </c>
      <c r="AH32" s="211">
        <f t="shared" si="9"/>
        <v>26.666666666666668</v>
      </c>
      <c r="AJ32" s="546">
        <f>RANK(AD32,($AD$8:$AD$12,$AD$14:$AD$15,$AD$18:$AD$36,$AD$40:$AD$51,$AD$54:$AD$62,$AD$65:$AD$69),0)</f>
        <v>21</v>
      </c>
    </row>
    <row r="33" spans="1:168" ht="15" customHeight="1" x14ac:dyDescent="0.25">
      <c r="A33" s="13" t="s">
        <v>28</v>
      </c>
      <c r="B33" s="139">
        <v>67</v>
      </c>
      <c r="C33" s="139">
        <v>74</v>
      </c>
      <c r="D33" s="139">
        <v>67</v>
      </c>
      <c r="E33" s="139">
        <v>81</v>
      </c>
      <c r="F33" s="139">
        <v>67</v>
      </c>
      <c r="G33" s="139">
        <v>71</v>
      </c>
      <c r="H33" s="27">
        <v>85</v>
      </c>
      <c r="I33" s="27">
        <v>79</v>
      </c>
      <c r="J33" s="139">
        <v>58</v>
      </c>
      <c r="K33" s="139">
        <v>84</v>
      </c>
      <c r="L33" s="139">
        <v>78</v>
      </c>
      <c r="M33" s="139">
        <v>71</v>
      </c>
      <c r="N33" s="27">
        <v>91</v>
      </c>
      <c r="O33" s="387">
        <v>106</v>
      </c>
      <c r="P33" s="387">
        <v>99</v>
      </c>
      <c r="Q33" s="455">
        <v>117</v>
      </c>
      <c r="R33" s="455">
        <v>120</v>
      </c>
      <c r="S33" s="505">
        <f>119+1</f>
        <v>120</v>
      </c>
      <c r="T33" s="455">
        <v>165</v>
      </c>
      <c r="U33" s="398">
        <f>121+4</f>
        <v>125</v>
      </c>
      <c r="V33" s="140">
        <v>144</v>
      </c>
      <c r="W33" s="140">
        <f>135+5</f>
        <v>140</v>
      </c>
      <c r="X33" s="27">
        <v>137</v>
      </c>
      <c r="Y33" s="27">
        <v>118</v>
      </c>
      <c r="Z33" s="140">
        <v>138</v>
      </c>
      <c r="AA33" s="140">
        <v>113</v>
      </c>
      <c r="AB33" s="140">
        <v>155</v>
      </c>
      <c r="AC33" s="140">
        <v>143</v>
      </c>
      <c r="AD33" s="141">
        <v>126</v>
      </c>
      <c r="AE33" s="346">
        <f t="shared" si="6"/>
        <v>-0.11888111888111888</v>
      </c>
      <c r="AF33" s="347">
        <f t="shared" si="7"/>
        <v>6.7796610169491525E-2</v>
      </c>
      <c r="AG33" s="348">
        <f t="shared" si="8"/>
        <v>-0.23636363636363636</v>
      </c>
      <c r="AH33" s="364">
        <f t="shared" si="9"/>
        <v>141.33333333333334</v>
      </c>
      <c r="AJ33" s="547">
        <f>RANK(AD33,($AD$8:$AD$12,$AD$14:$AD$15,$AD$18:$AD$36,$AD$40:$AD$51,$AD$54:$AD$62,$AD$65:$AD$69),0)</f>
        <v>1</v>
      </c>
    </row>
    <row r="34" spans="1:168" ht="15" customHeight="1" x14ac:dyDescent="0.2">
      <c r="A34" s="1" t="s">
        <v>31</v>
      </c>
      <c r="B34" s="133">
        <v>16</v>
      </c>
      <c r="C34" s="133">
        <v>16</v>
      </c>
      <c r="D34" s="133">
        <v>17</v>
      </c>
      <c r="E34" s="133">
        <v>16</v>
      </c>
      <c r="F34" s="133">
        <v>8</v>
      </c>
      <c r="G34" s="133">
        <v>16</v>
      </c>
      <c r="H34" s="22">
        <v>16</v>
      </c>
      <c r="I34" s="22">
        <v>12</v>
      </c>
      <c r="J34" s="133">
        <v>7</v>
      </c>
      <c r="K34" s="133">
        <v>5</v>
      </c>
      <c r="L34" s="133">
        <v>10</v>
      </c>
      <c r="M34" s="133">
        <v>7</v>
      </c>
      <c r="N34" s="22">
        <v>9</v>
      </c>
      <c r="O34" s="386">
        <v>11</v>
      </c>
      <c r="P34" s="386">
        <v>18</v>
      </c>
      <c r="Q34" s="454">
        <v>15</v>
      </c>
      <c r="R34" s="454">
        <v>21</v>
      </c>
      <c r="S34" s="504">
        <v>16</v>
      </c>
      <c r="T34" s="454">
        <v>12</v>
      </c>
      <c r="U34" s="397">
        <v>9</v>
      </c>
      <c r="V34" s="134">
        <v>20</v>
      </c>
      <c r="W34" s="134">
        <v>18</v>
      </c>
      <c r="X34" s="22">
        <v>13</v>
      </c>
      <c r="Y34" s="22">
        <v>17</v>
      </c>
      <c r="Z34" s="134">
        <v>14</v>
      </c>
      <c r="AA34" s="134">
        <v>11</v>
      </c>
      <c r="AB34" s="134">
        <v>23</v>
      </c>
      <c r="AC34" s="134">
        <v>11</v>
      </c>
      <c r="AD34" s="135">
        <v>15</v>
      </c>
      <c r="AE34" s="343" t="str">
        <f t="shared" si="6"/>
        <v xml:space="preserve"> </v>
      </c>
      <c r="AF34" s="344" t="str">
        <f t="shared" si="7"/>
        <v xml:space="preserve"> </v>
      </c>
      <c r="AG34" s="345" t="str">
        <f t="shared" si="8"/>
        <v xml:space="preserve"> </v>
      </c>
      <c r="AH34" s="211">
        <f t="shared" si="9"/>
        <v>16.333333333333332</v>
      </c>
      <c r="AJ34" s="546">
        <f>RANK(AD34,($AD$8:$AD$12,$AD$14:$AD$15,$AD$18:$AD$36,$AD$40:$AD$51,$AD$54:$AD$62,$AD$65:$AD$69),0)</f>
        <v>25</v>
      </c>
    </row>
    <row r="35" spans="1:168" ht="15" customHeight="1" x14ac:dyDescent="0.25">
      <c r="A35" s="1" t="s">
        <v>32</v>
      </c>
      <c r="B35" s="133">
        <v>1</v>
      </c>
      <c r="C35" s="133">
        <v>0</v>
      </c>
      <c r="D35" s="133">
        <v>3</v>
      </c>
      <c r="E35" s="133">
        <v>5</v>
      </c>
      <c r="F35" s="133">
        <v>4</v>
      </c>
      <c r="G35" s="133">
        <v>6</v>
      </c>
      <c r="H35" s="22">
        <v>8</v>
      </c>
      <c r="I35" s="22">
        <v>12</v>
      </c>
      <c r="J35" s="133">
        <v>13</v>
      </c>
      <c r="K35" s="133">
        <v>8</v>
      </c>
      <c r="L35" s="133">
        <v>11</v>
      </c>
      <c r="M35" s="133">
        <v>16</v>
      </c>
      <c r="N35" s="22">
        <v>27</v>
      </c>
      <c r="O35" s="386">
        <v>17</v>
      </c>
      <c r="P35" s="386">
        <v>12</v>
      </c>
      <c r="Q35" s="454">
        <v>11</v>
      </c>
      <c r="R35" s="454">
        <v>6</v>
      </c>
      <c r="S35" s="504">
        <f>6+7</f>
        <v>13</v>
      </c>
      <c r="T35" s="454">
        <v>13</v>
      </c>
      <c r="U35" s="397">
        <f>9+2</f>
        <v>11</v>
      </c>
      <c r="V35" s="134">
        <v>11</v>
      </c>
      <c r="W35" s="134">
        <f>9+5</f>
        <v>14</v>
      </c>
      <c r="X35" s="22">
        <v>7</v>
      </c>
      <c r="Y35" s="22">
        <v>9</v>
      </c>
      <c r="Z35" s="134">
        <v>6</v>
      </c>
      <c r="AA35" s="134">
        <v>7</v>
      </c>
      <c r="AB35" s="134">
        <v>10</v>
      </c>
      <c r="AC35" s="134">
        <v>6</v>
      </c>
      <c r="AD35" s="135">
        <v>4</v>
      </c>
      <c r="AE35" s="343" t="str">
        <f t="shared" si="6"/>
        <v xml:space="preserve"> </v>
      </c>
      <c r="AF35" s="344" t="str">
        <f t="shared" si="7"/>
        <v xml:space="preserve"> </v>
      </c>
      <c r="AG35" s="345" t="str">
        <f t="shared" si="8"/>
        <v xml:space="preserve"> </v>
      </c>
      <c r="AH35" s="211">
        <f t="shared" si="9"/>
        <v>6.666666666666667</v>
      </c>
      <c r="AJ35" s="516">
        <f>RANK(AD35,($AD$8:$AD$12,$AD$14:$AD$15,$AD$18:$AD$36,$AD$40:$AD$51,$AD$54:$AD$62,$AD$65:$AD$69),0)</f>
        <v>40</v>
      </c>
    </row>
    <row r="36" spans="1:168" ht="15" customHeight="1" x14ac:dyDescent="0.2">
      <c r="A36" s="1" t="s">
        <v>33</v>
      </c>
      <c r="B36" s="133"/>
      <c r="C36" s="133"/>
      <c r="D36" s="133"/>
      <c r="E36" s="133"/>
      <c r="F36" s="133"/>
      <c r="G36" s="133"/>
      <c r="H36" s="22"/>
      <c r="I36" s="22">
        <v>2</v>
      </c>
      <c r="J36" s="133">
        <v>6</v>
      </c>
      <c r="K36" s="133">
        <v>1</v>
      </c>
      <c r="L36" s="133">
        <v>5</v>
      </c>
      <c r="M36" s="133">
        <v>7</v>
      </c>
      <c r="N36" s="22">
        <v>5</v>
      </c>
      <c r="O36" s="386">
        <v>8</v>
      </c>
      <c r="P36" s="386">
        <v>9</v>
      </c>
      <c r="Q36" s="454">
        <v>4</v>
      </c>
      <c r="R36" s="454">
        <v>8</v>
      </c>
      <c r="S36" s="504">
        <v>6</v>
      </c>
      <c r="T36" s="454">
        <v>10</v>
      </c>
      <c r="U36" s="397">
        <v>12</v>
      </c>
      <c r="V36" s="134">
        <v>8</v>
      </c>
      <c r="W36" s="134">
        <v>5</v>
      </c>
      <c r="X36" s="22">
        <v>12</v>
      </c>
      <c r="Y36" s="22">
        <v>6</v>
      </c>
      <c r="Z36" s="134">
        <v>14</v>
      </c>
      <c r="AA36" s="134">
        <v>7</v>
      </c>
      <c r="AB36" s="134">
        <v>10</v>
      </c>
      <c r="AC36" s="134">
        <v>4</v>
      </c>
      <c r="AD36" s="135">
        <v>7</v>
      </c>
      <c r="AE36" s="343" t="str">
        <f t="shared" si="6"/>
        <v xml:space="preserve"> </v>
      </c>
      <c r="AF36" s="344" t="str">
        <f t="shared" si="7"/>
        <v xml:space="preserve"> </v>
      </c>
      <c r="AG36" s="345" t="str">
        <f t="shared" si="8"/>
        <v xml:space="preserve"> </v>
      </c>
      <c r="AH36" s="211">
        <f t="shared" si="9"/>
        <v>7</v>
      </c>
      <c r="AJ36" s="546">
        <f>RANK(AD36,($AD$8:$AD$12,$AD$14:$AD$15,$AD$18:$AD$36,$AD$40:$AD$51,$AD$54:$AD$62,$AD$65:$AD$69),0)</f>
        <v>36</v>
      </c>
    </row>
    <row r="37" spans="1:168" ht="15" hidden="1" customHeight="1" x14ac:dyDescent="0.2">
      <c r="A37" s="1" t="s">
        <v>50</v>
      </c>
      <c r="B37" s="133">
        <v>7</v>
      </c>
      <c r="C37" s="133">
        <v>4</v>
      </c>
      <c r="D37" s="133"/>
      <c r="E37" s="133"/>
      <c r="F37" s="133"/>
      <c r="G37" s="133"/>
      <c r="H37" s="22"/>
      <c r="I37" s="22"/>
      <c r="J37" s="133"/>
      <c r="K37" s="133"/>
      <c r="L37" s="133"/>
      <c r="M37" s="133"/>
      <c r="N37" s="22"/>
      <c r="O37" s="386"/>
      <c r="P37" s="386"/>
      <c r="Q37" s="454"/>
      <c r="R37" s="454"/>
      <c r="S37" s="504"/>
      <c r="T37" s="454"/>
      <c r="U37" s="397"/>
      <c r="V37" s="134"/>
      <c r="W37" s="134"/>
      <c r="X37" s="22"/>
      <c r="Y37" s="22"/>
      <c r="Z37" s="135"/>
      <c r="AA37" s="135"/>
      <c r="AB37" s="135"/>
      <c r="AC37" s="135"/>
      <c r="AD37" s="135"/>
      <c r="AE37" s="147" t="str">
        <f t="shared" si="6"/>
        <v xml:space="preserve"> </v>
      </c>
      <c r="AF37" s="148" t="str">
        <f t="shared" si="7"/>
        <v xml:space="preserve"> </v>
      </c>
      <c r="AG37" s="150" t="str">
        <f t="shared" si="8"/>
        <v xml:space="preserve"> </v>
      </c>
      <c r="AH37" s="149" t="str">
        <f t="shared" si="9"/>
        <v xml:space="preserve">  </v>
      </c>
      <c r="AJ37" s="546">
        <f>RANK(AD37,($AD$8:$AD$12,$AD$14:$AD$15,$AD$18:$AD$36,$AD$40:$AD$51,$AD$54:$AD$62,$AD$65:$AD$69),0)</f>
        <v>47</v>
      </c>
    </row>
    <row r="38" spans="1:168" s="42" customFormat="1" ht="15" customHeight="1" thickBot="1" x14ac:dyDescent="0.25">
      <c r="A38" s="180" t="s">
        <v>88</v>
      </c>
      <c r="B38" s="99">
        <f t="shared" ref="B38:AD38" si="10">SUM(B18:B37)</f>
        <v>391</v>
      </c>
      <c r="C38" s="99">
        <f t="shared" si="10"/>
        <v>427</v>
      </c>
      <c r="D38" s="99">
        <f t="shared" si="10"/>
        <v>401</v>
      </c>
      <c r="E38" s="99">
        <f t="shared" si="10"/>
        <v>434</v>
      </c>
      <c r="F38" s="99">
        <f t="shared" si="10"/>
        <v>396</v>
      </c>
      <c r="G38" s="99">
        <f t="shared" si="10"/>
        <v>385</v>
      </c>
      <c r="H38" s="99">
        <f t="shared" si="10"/>
        <v>452</v>
      </c>
      <c r="I38" s="99">
        <f t="shared" si="10"/>
        <v>483</v>
      </c>
      <c r="J38" s="99">
        <f t="shared" si="10"/>
        <v>488</v>
      </c>
      <c r="K38" s="99">
        <f t="shared" si="10"/>
        <v>541</v>
      </c>
      <c r="L38" s="99">
        <f t="shared" si="10"/>
        <v>512</v>
      </c>
      <c r="M38" s="99">
        <f t="shared" si="10"/>
        <v>527</v>
      </c>
      <c r="N38" s="99">
        <f t="shared" si="10"/>
        <v>567</v>
      </c>
      <c r="O38" s="393">
        <f t="shared" si="10"/>
        <v>616</v>
      </c>
      <c r="P38" s="393">
        <f t="shared" si="10"/>
        <v>623</v>
      </c>
      <c r="Q38" s="462">
        <f t="shared" si="10"/>
        <v>662</v>
      </c>
      <c r="R38" s="462">
        <f>SUM(R18:R37)</f>
        <v>678</v>
      </c>
      <c r="S38" s="462">
        <f t="shared" si="10"/>
        <v>716</v>
      </c>
      <c r="T38" s="462">
        <f t="shared" si="10"/>
        <v>769</v>
      </c>
      <c r="U38" s="294">
        <f t="shared" si="10"/>
        <v>705</v>
      </c>
      <c r="V38" s="99">
        <f t="shared" si="10"/>
        <v>729</v>
      </c>
      <c r="W38" s="99">
        <f t="shared" si="10"/>
        <v>678</v>
      </c>
      <c r="X38" s="99">
        <f t="shared" si="10"/>
        <v>673</v>
      </c>
      <c r="Y38" s="99">
        <f t="shared" si="10"/>
        <v>657</v>
      </c>
      <c r="Z38" s="99">
        <f t="shared" si="10"/>
        <v>638</v>
      </c>
      <c r="AA38" s="99">
        <f t="shared" si="10"/>
        <v>664</v>
      </c>
      <c r="AB38" s="99">
        <f t="shared" si="10"/>
        <v>692</v>
      </c>
      <c r="AC38" s="99">
        <f t="shared" si="10"/>
        <v>575</v>
      </c>
      <c r="AD38" s="99">
        <f t="shared" si="10"/>
        <v>554</v>
      </c>
      <c r="AE38" s="181">
        <f t="shared" si="6"/>
        <v>-3.6521739130434785E-2</v>
      </c>
      <c r="AF38" s="182">
        <f t="shared" si="7"/>
        <v>-0.15677321156773211</v>
      </c>
      <c r="AG38" s="183">
        <f t="shared" si="8"/>
        <v>-0.27958387516254879</v>
      </c>
      <c r="AH38" s="99">
        <f t="shared" si="9"/>
        <v>607</v>
      </c>
      <c r="AI38" s="153"/>
      <c r="AJ38" s="546"/>
      <c r="AK38" s="155"/>
      <c r="AL38" s="155"/>
      <c r="AM38" s="155"/>
      <c r="AN38" s="155"/>
      <c r="AO38" s="155"/>
      <c r="AP38" s="155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</row>
    <row r="39" spans="1:168" ht="15" customHeight="1" thickTop="1" x14ac:dyDescent="0.2">
      <c r="A39" s="43" t="s">
        <v>89</v>
      </c>
      <c r="B39" s="44"/>
      <c r="C39" s="45"/>
      <c r="D39" s="4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47"/>
      <c r="Z39" s="47"/>
      <c r="AA39" s="47"/>
      <c r="AB39" s="47"/>
      <c r="AC39" s="47"/>
      <c r="AD39" s="47"/>
      <c r="AE39" s="47" t="str">
        <f t="shared" si="6"/>
        <v xml:space="preserve"> </v>
      </c>
      <c r="AF39" s="48" t="str">
        <f t="shared" si="7"/>
        <v xml:space="preserve"> </v>
      </c>
      <c r="AG39" s="310" t="str">
        <f t="shared" si="8"/>
        <v xml:space="preserve"> </v>
      </c>
      <c r="AH39" s="49" t="str">
        <f t="shared" si="9"/>
        <v xml:space="preserve">  </v>
      </c>
    </row>
    <row r="40" spans="1:168" ht="15" customHeight="1" x14ac:dyDescent="0.2">
      <c r="A40" s="191" t="s">
        <v>3</v>
      </c>
      <c r="B40" s="133">
        <v>78</v>
      </c>
      <c r="C40" s="133">
        <v>82</v>
      </c>
      <c r="D40" s="133">
        <v>104</v>
      </c>
      <c r="E40" s="133">
        <v>132</v>
      </c>
      <c r="F40" s="133">
        <v>106</v>
      </c>
      <c r="G40" s="133">
        <v>92</v>
      </c>
      <c r="H40" s="22">
        <v>92</v>
      </c>
      <c r="I40" s="22">
        <v>90</v>
      </c>
      <c r="J40" s="133">
        <v>104</v>
      </c>
      <c r="K40" s="133">
        <v>71</v>
      </c>
      <c r="L40" s="133">
        <v>82</v>
      </c>
      <c r="M40" s="133">
        <v>82</v>
      </c>
      <c r="N40" s="22">
        <v>91</v>
      </c>
      <c r="O40" s="385">
        <v>91</v>
      </c>
      <c r="P40" s="385">
        <v>85</v>
      </c>
      <c r="Q40" s="454">
        <v>93</v>
      </c>
      <c r="R40" s="460">
        <f>107+2</f>
        <v>109</v>
      </c>
      <c r="S40" s="504">
        <f>90+4</f>
        <v>94</v>
      </c>
      <c r="T40" s="454">
        <v>107</v>
      </c>
      <c r="U40" s="397">
        <v>110</v>
      </c>
      <c r="V40" s="134">
        <v>119</v>
      </c>
      <c r="W40" s="134">
        <v>119</v>
      </c>
      <c r="X40" s="22">
        <v>109</v>
      </c>
      <c r="Y40" s="22">
        <v>107</v>
      </c>
      <c r="Z40" s="134">
        <v>104</v>
      </c>
      <c r="AA40" s="134">
        <v>102</v>
      </c>
      <c r="AB40" s="134">
        <v>91</v>
      </c>
      <c r="AC40" s="134">
        <v>88</v>
      </c>
      <c r="AD40" s="135">
        <v>64</v>
      </c>
      <c r="AE40" s="343">
        <f t="shared" si="6"/>
        <v>-0.27272727272727271</v>
      </c>
      <c r="AF40" s="344">
        <f t="shared" si="7"/>
        <v>-0.40186915887850466</v>
      </c>
      <c r="AG40" s="345">
        <f t="shared" si="8"/>
        <v>-0.40186915887850466</v>
      </c>
      <c r="AH40" s="211">
        <f t="shared" si="9"/>
        <v>81</v>
      </c>
      <c r="AJ40" s="546">
        <f>RANK(AD40,($AD$8:$AD$12,$AD$14:$AD$15,$AD$18:$AD$36,$AD$40:$AD$51,$AD$54:$AD$62,$AD$65:$AD$69),0)</f>
        <v>9</v>
      </c>
    </row>
    <row r="41" spans="1:168" ht="15" customHeight="1" x14ac:dyDescent="0.2">
      <c r="A41" s="191" t="s">
        <v>5</v>
      </c>
      <c r="B41" s="133">
        <v>11</v>
      </c>
      <c r="C41" s="133">
        <v>4</v>
      </c>
      <c r="D41" s="133">
        <v>9</v>
      </c>
      <c r="E41" s="133">
        <v>10</v>
      </c>
      <c r="F41" s="133">
        <v>11</v>
      </c>
      <c r="G41" s="133">
        <v>6</v>
      </c>
      <c r="H41" s="22">
        <v>13</v>
      </c>
      <c r="I41" s="22">
        <v>12</v>
      </c>
      <c r="J41" s="133">
        <v>10</v>
      </c>
      <c r="K41" s="133">
        <v>7</v>
      </c>
      <c r="L41" s="133">
        <v>12</v>
      </c>
      <c r="M41" s="133">
        <v>8</v>
      </c>
      <c r="N41" s="22">
        <v>9</v>
      </c>
      <c r="O41" s="386">
        <v>12</v>
      </c>
      <c r="P41" s="386">
        <v>10</v>
      </c>
      <c r="Q41" s="454">
        <v>11</v>
      </c>
      <c r="R41" s="454">
        <v>7</v>
      </c>
      <c r="S41" s="504">
        <v>13</v>
      </c>
      <c r="T41" s="454">
        <v>10</v>
      </c>
      <c r="U41" s="397">
        <v>14</v>
      </c>
      <c r="V41" s="134">
        <v>15</v>
      </c>
      <c r="W41" s="134">
        <v>20</v>
      </c>
      <c r="X41" s="22">
        <v>14</v>
      </c>
      <c r="Y41" s="22">
        <v>15</v>
      </c>
      <c r="Z41" s="134">
        <v>20</v>
      </c>
      <c r="AA41" s="134">
        <v>24</v>
      </c>
      <c r="AB41" s="134">
        <v>14</v>
      </c>
      <c r="AC41" s="134">
        <v>17</v>
      </c>
      <c r="AD41" s="135">
        <v>13</v>
      </c>
      <c r="AE41" s="343" t="str">
        <f t="shared" si="6"/>
        <v xml:space="preserve"> </v>
      </c>
      <c r="AF41" s="344" t="str">
        <f t="shared" si="7"/>
        <v xml:space="preserve"> </v>
      </c>
      <c r="AG41" s="345" t="str">
        <f t="shared" si="8"/>
        <v xml:space="preserve"> </v>
      </c>
      <c r="AH41" s="211">
        <f t="shared" si="9"/>
        <v>14.666666666666666</v>
      </c>
      <c r="AJ41" s="546">
        <f>RANK(AD41,($AD$8:$AD$12,$AD$14:$AD$15,$AD$18:$AD$36,$AD$40:$AD$51,$AD$54:$AD$62,$AD$65:$AD$69),0)</f>
        <v>29</v>
      </c>
    </row>
    <row r="42" spans="1:168" ht="15" customHeight="1" x14ac:dyDescent="0.2">
      <c r="A42" s="191" t="s">
        <v>6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22">
        <v>1</v>
      </c>
      <c r="I42" s="22">
        <v>11</v>
      </c>
      <c r="J42" s="133">
        <v>6</v>
      </c>
      <c r="K42" s="133">
        <v>15</v>
      </c>
      <c r="L42" s="133">
        <v>15</v>
      </c>
      <c r="M42" s="133">
        <v>18</v>
      </c>
      <c r="N42" s="22">
        <v>10</v>
      </c>
      <c r="O42" s="386">
        <v>6</v>
      </c>
      <c r="P42" s="386">
        <v>16</v>
      </c>
      <c r="Q42" s="454">
        <v>9</v>
      </c>
      <c r="R42" s="454">
        <f>17+1</f>
        <v>18</v>
      </c>
      <c r="S42" s="504">
        <v>17</v>
      </c>
      <c r="T42" s="454">
        <v>11</v>
      </c>
      <c r="U42" s="397">
        <v>15</v>
      </c>
      <c r="V42" s="134">
        <v>26</v>
      </c>
      <c r="W42" s="134">
        <v>25</v>
      </c>
      <c r="X42" s="22">
        <v>31</v>
      </c>
      <c r="Y42" s="22">
        <v>36</v>
      </c>
      <c r="Z42" s="134">
        <v>36</v>
      </c>
      <c r="AA42" s="134">
        <v>39</v>
      </c>
      <c r="AB42" s="134">
        <v>26</v>
      </c>
      <c r="AC42" s="134">
        <v>29</v>
      </c>
      <c r="AD42" s="135">
        <v>31</v>
      </c>
      <c r="AE42" s="343">
        <f t="shared" si="6"/>
        <v>6.8965517241379309E-2</v>
      </c>
      <c r="AF42" s="344">
        <f t="shared" si="7"/>
        <v>-0.1388888888888889</v>
      </c>
      <c r="AG42" s="345">
        <f t="shared" si="8"/>
        <v>1.8181818181818181</v>
      </c>
      <c r="AH42" s="211">
        <f t="shared" si="9"/>
        <v>28.666666666666668</v>
      </c>
      <c r="AJ42" s="546">
        <f>RANK(AD42,($AD$8:$AD$12,$AD$14:$AD$15,$AD$18:$AD$36,$AD$40:$AD$51,$AD$54:$AD$62,$AD$65:$AD$69),0)</f>
        <v>18</v>
      </c>
    </row>
    <row r="43" spans="1:168" ht="15" customHeight="1" x14ac:dyDescent="0.25">
      <c r="A43" s="191" t="s">
        <v>159</v>
      </c>
      <c r="B43" s="133"/>
      <c r="C43" s="133"/>
      <c r="D43" s="133"/>
      <c r="E43" s="133"/>
      <c r="F43" s="133"/>
      <c r="G43" s="133"/>
      <c r="H43" s="22"/>
      <c r="I43" s="22"/>
      <c r="J43" s="133"/>
      <c r="K43" s="133"/>
      <c r="L43" s="133"/>
      <c r="M43" s="133"/>
      <c r="N43" s="22"/>
      <c r="O43" s="386"/>
      <c r="P43" s="386"/>
      <c r="Q43" s="454"/>
      <c r="R43" s="454"/>
      <c r="S43" s="504"/>
      <c r="T43" s="454">
        <v>0</v>
      </c>
      <c r="U43" s="397"/>
      <c r="V43" s="134"/>
      <c r="W43" s="134"/>
      <c r="X43" s="22"/>
      <c r="Y43" s="22">
        <v>0</v>
      </c>
      <c r="Z43" s="134">
        <v>0</v>
      </c>
      <c r="AA43" s="134">
        <v>0</v>
      </c>
      <c r="AB43" s="134">
        <v>0</v>
      </c>
      <c r="AC43" s="134">
        <v>0</v>
      </c>
      <c r="AD43" s="135">
        <v>4</v>
      </c>
      <c r="AE43" s="346"/>
      <c r="AF43" s="347"/>
      <c r="AG43" s="348"/>
      <c r="AH43" s="364" t="str">
        <f t="shared" si="9"/>
        <v xml:space="preserve">  </v>
      </c>
      <c r="AJ43" s="548">
        <f>RANK(AD43,($AD$8:$AD$12,$AD$14:$AD$15,$AD$18:$AD$36,$AD$40:$AD$51,$AD$54:$AD$62,$AD$65:$AD$69),0)</f>
        <v>40</v>
      </c>
      <c r="AK43" s="549" t="s">
        <v>161</v>
      </c>
      <c r="AL43" s="549"/>
    </row>
    <row r="44" spans="1:168" ht="15" customHeight="1" x14ac:dyDescent="0.2">
      <c r="A44" s="192" t="s">
        <v>66</v>
      </c>
      <c r="B44" s="176"/>
      <c r="C44" s="176"/>
      <c r="D44" s="176"/>
      <c r="E44" s="176"/>
      <c r="F44" s="176"/>
      <c r="G44" s="176">
        <v>0</v>
      </c>
      <c r="H44" s="177"/>
      <c r="I44" s="177"/>
      <c r="J44" s="176"/>
      <c r="K44" s="176"/>
      <c r="L44" s="176"/>
      <c r="M44" s="176">
        <v>0</v>
      </c>
      <c r="N44" s="177">
        <v>0</v>
      </c>
      <c r="O44" s="392">
        <v>0</v>
      </c>
      <c r="P44" s="392">
        <v>0</v>
      </c>
      <c r="Q44" s="461">
        <v>1</v>
      </c>
      <c r="R44" s="461">
        <v>1</v>
      </c>
      <c r="S44" s="508">
        <v>2</v>
      </c>
      <c r="T44" s="461">
        <v>10</v>
      </c>
      <c r="U44" s="402">
        <f>4+2</f>
        <v>6</v>
      </c>
      <c r="V44" s="152">
        <v>19</v>
      </c>
      <c r="W44" s="152">
        <f>4+2</f>
        <v>6</v>
      </c>
      <c r="X44" s="177">
        <v>7</v>
      </c>
      <c r="Y44" s="177">
        <v>11</v>
      </c>
      <c r="Z44" s="152">
        <v>9</v>
      </c>
      <c r="AA44" s="152">
        <v>17</v>
      </c>
      <c r="AB44" s="152">
        <v>10</v>
      </c>
      <c r="AC44" s="152">
        <v>16</v>
      </c>
      <c r="AD44" s="178">
        <v>6</v>
      </c>
      <c r="AE44" s="343" t="str">
        <f t="shared" si="6"/>
        <v xml:space="preserve"> </v>
      </c>
      <c r="AF44" s="344" t="str">
        <f t="shared" si="7"/>
        <v xml:space="preserve"> </v>
      </c>
      <c r="AG44" s="345" t="str">
        <f t="shared" si="8"/>
        <v xml:space="preserve"> </v>
      </c>
      <c r="AH44" s="211">
        <f t="shared" si="9"/>
        <v>10.666666666666666</v>
      </c>
      <c r="AJ44" s="546">
        <f>RANK(AD44,($AD$8:$AD$12,$AD$14:$AD$15,$AD$18:$AD$36,$AD$40:$AD$51,$AD$54:$AD$62,$AD$65:$AD$69),0)</f>
        <v>38</v>
      </c>
    </row>
    <row r="45" spans="1:168" ht="15" customHeight="1" x14ac:dyDescent="0.2">
      <c r="A45" s="191" t="s">
        <v>122</v>
      </c>
      <c r="B45" s="133">
        <v>6</v>
      </c>
      <c r="C45" s="133">
        <v>8</v>
      </c>
      <c r="D45" s="133">
        <v>12</v>
      </c>
      <c r="E45" s="133">
        <v>21</v>
      </c>
      <c r="F45" s="133">
        <v>15</v>
      </c>
      <c r="G45" s="133">
        <v>6</v>
      </c>
      <c r="H45" s="22">
        <v>13</v>
      </c>
      <c r="I45" s="22">
        <v>12</v>
      </c>
      <c r="J45" s="133">
        <v>10</v>
      </c>
      <c r="K45" s="133">
        <v>8</v>
      </c>
      <c r="L45" s="133">
        <v>10</v>
      </c>
      <c r="M45" s="133">
        <v>7</v>
      </c>
      <c r="N45" s="22">
        <v>4</v>
      </c>
      <c r="O45" s="386">
        <v>8</v>
      </c>
      <c r="P45" s="386">
        <v>5</v>
      </c>
      <c r="Q45" s="454">
        <v>2</v>
      </c>
      <c r="R45" s="454">
        <v>2</v>
      </c>
      <c r="S45" s="504">
        <v>0</v>
      </c>
      <c r="T45" s="454">
        <v>1</v>
      </c>
      <c r="U45" s="397">
        <v>0</v>
      </c>
      <c r="V45" s="134">
        <v>0</v>
      </c>
      <c r="W45" s="134">
        <v>1</v>
      </c>
      <c r="X45" s="22">
        <v>0</v>
      </c>
      <c r="Y45" s="22">
        <v>0</v>
      </c>
      <c r="Z45" s="134">
        <v>0</v>
      </c>
      <c r="AA45" s="134">
        <v>0</v>
      </c>
      <c r="AB45" s="134">
        <v>0</v>
      </c>
      <c r="AC45" s="134">
        <v>0</v>
      </c>
      <c r="AD45" s="135">
        <v>0</v>
      </c>
      <c r="AE45" s="343" t="str">
        <f t="shared" si="6"/>
        <v xml:space="preserve"> </v>
      </c>
      <c r="AF45" s="344" t="str">
        <f t="shared" si="7"/>
        <v xml:space="preserve"> </v>
      </c>
      <c r="AG45" s="345" t="str">
        <f t="shared" si="8"/>
        <v xml:space="preserve"> </v>
      </c>
      <c r="AH45" s="211" t="str">
        <f t="shared" si="9"/>
        <v xml:space="preserve">  </v>
      </c>
      <c r="AJ45" s="546">
        <f>RANK(AD45,($AD$8:$AD$12,$AD$14:$AD$15,$AD$18:$AD$36,$AD$40:$AD$51,$AD$54:$AD$62,$AD$65:$AD$69),0)</f>
        <v>47</v>
      </c>
    </row>
    <row r="46" spans="1:168" ht="15" customHeight="1" x14ac:dyDescent="0.2">
      <c r="A46" s="423" t="s">
        <v>15</v>
      </c>
      <c r="B46" s="139">
        <v>14</v>
      </c>
      <c r="C46" s="139">
        <v>31</v>
      </c>
      <c r="D46" s="139">
        <v>26</v>
      </c>
      <c r="E46" s="139">
        <v>22</v>
      </c>
      <c r="F46" s="139">
        <v>22</v>
      </c>
      <c r="G46" s="139">
        <v>22</v>
      </c>
      <c r="H46" s="27">
        <v>17</v>
      </c>
      <c r="I46" s="27">
        <v>22</v>
      </c>
      <c r="J46" s="139">
        <v>28</v>
      </c>
      <c r="K46" s="139">
        <v>13</v>
      </c>
      <c r="L46" s="139">
        <v>32</v>
      </c>
      <c r="M46" s="139">
        <v>20</v>
      </c>
      <c r="N46" s="27">
        <v>20</v>
      </c>
      <c r="O46" s="387">
        <v>34</v>
      </c>
      <c r="P46" s="387">
        <v>35</v>
      </c>
      <c r="Q46" s="455">
        <v>37</v>
      </c>
      <c r="R46" s="455">
        <f>28+1</f>
        <v>29</v>
      </c>
      <c r="S46" s="505">
        <f>31+1</f>
        <v>32</v>
      </c>
      <c r="T46" s="455">
        <v>30</v>
      </c>
      <c r="U46" s="398">
        <v>28</v>
      </c>
      <c r="V46" s="140">
        <v>38</v>
      </c>
      <c r="W46" s="140">
        <v>23</v>
      </c>
      <c r="X46" s="27">
        <v>35</v>
      </c>
      <c r="Y46" s="27">
        <v>31</v>
      </c>
      <c r="Z46" s="140">
        <v>30</v>
      </c>
      <c r="AA46" s="140">
        <v>25</v>
      </c>
      <c r="AB46" s="140">
        <v>23</v>
      </c>
      <c r="AC46" s="140">
        <v>15</v>
      </c>
      <c r="AD46" s="141">
        <v>15</v>
      </c>
      <c r="AE46" s="346" t="str">
        <f t="shared" si="6"/>
        <v xml:space="preserve"> </v>
      </c>
      <c r="AF46" s="347" t="str">
        <f t="shared" si="7"/>
        <v xml:space="preserve"> </v>
      </c>
      <c r="AG46" s="348" t="str">
        <f t="shared" si="8"/>
        <v xml:space="preserve"> </v>
      </c>
      <c r="AH46" s="364">
        <f t="shared" si="9"/>
        <v>17.666666666666668</v>
      </c>
      <c r="AJ46" s="546">
        <f>RANK(AD46,($AD$8:$AD$12,$AD$14:$AD$15,$AD$18:$AD$36,$AD$40:$AD$51,$AD$54:$AD$62,$AD$65:$AD$69),0)</f>
        <v>25</v>
      </c>
    </row>
    <row r="47" spans="1:168" ht="15" customHeight="1" x14ac:dyDescent="0.2">
      <c r="A47" s="191" t="s">
        <v>137</v>
      </c>
      <c r="B47" s="133"/>
      <c r="C47" s="133"/>
      <c r="D47" s="133"/>
      <c r="E47" s="133"/>
      <c r="F47" s="133"/>
      <c r="G47" s="133"/>
      <c r="H47" s="22"/>
      <c r="I47" s="22"/>
      <c r="J47" s="133"/>
      <c r="K47" s="133"/>
      <c r="L47" s="133"/>
      <c r="M47" s="133"/>
      <c r="N47" s="22"/>
      <c r="O47" s="386"/>
      <c r="P47" s="386"/>
      <c r="Q47" s="454"/>
      <c r="R47" s="454">
        <v>0</v>
      </c>
      <c r="S47" s="504"/>
      <c r="T47" s="454">
        <v>0</v>
      </c>
      <c r="U47" s="397"/>
      <c r="V47" s="134"/>
      <c r="W47" s="134">
        <v>0</v>
      </c>
      <c r="X47" s="22">
        <v>0</v>
      </c>
      <c r="Y47" s="22">
        <v>0</v>
      </c>
      <c r="Z47" s="134">
        <v>0</v>
      </c>
      <c r="AA47" s="134">
        <v>0</v>
      </c>
      <c r="AB47" s="134">
        <v>1</v>
      </c>
      <c r="AC47" s="134">
        <v>1</v>
      </c>
      <c r="AD47" s="135">
        <v>8</v>
      </c>
      <c r="AE47" s="343" t="str">
        <f t="shared" si="6"/>
        <v xml:space="preserve"> </v>
      </c>
      <c r="AF47" s="344" t="str">
        <f t="shared" si="7"/>
        <v xml:space="preserve"> </v>
      </c>
      <c r="AG47" s="345" t="str">
        <f t="shared" si="8"/>
        <v xml:space="preserve"> </v>
      </c>
      <c r="AH47" s="211">
        <f t="shared" si="9"/>
        <v>3.3333333333333335</v>
      </c>
      <c r="AJ47" s="546">
        <f>RANK(AD47,($AD$8:$AD$12,$AD$14:$AD$15,$AD$18:$AD$36,$AD$40:$AD$51,$AD$54:$AD$62,$AD$65:$AD$69),0)</f>
        <v>34</v>
      </c>
    </row>
    <row r="48" spans="1:168" ht="15" customHeight="1" x14ac:dyDescent="0.2">
      <c r="A48" s="193" t="s">
        <v>22</v>
      </c>
      <c r="B48" s="133">
        <v>21</v>
      </c>
      <c r="C48" s="133">
        <v>21</v>
      </c>
      <c r="D48" s="133">
        <v>24</v>
      </c>
      <c r="E48" s="133">
        <v>22</v>
      </c>
      <c r="F48" s="133">
        <v>21</v>
      </c>
      <c r="G48" s="133">
        <v>16</v>
      </c>
      <c r="H48" s="22">
        <v>27</v>
      </c>
      <c r="I48" s="22">
        <v>12</v>
      </c>
      <c r="J48" s="133">
        <v>22</v>
      </c>
      <c r="K48" s="133">
        <v>24</v>
      </c>
      <c r="L48" s="133">
        <v>22</v>
      </c>
      <c r="M48" s="133">
        <v>22</v>
      </c>
      <c r="N48" s="22">
        <v>24</v>
      </c>
      <c r="O48" s="386">
        <v>28</v>
      </c>
      <c r="P48" s="386">
        <v>14</v>
      </c>
      <c r="Q48" s="454">
        <v>19</v>
      </c>
      <c r="R48" s="454">
        <f>23+4</f>
        <v>27</v>
      </c>
      <c r="S48" s="504">
        <f>24+2</f>
        <v>26</v>
      </c>
      <c r="T48" s="454">
        <v>26</v>
      </c>
      <c r="U48" s="397">
        <f>30+1</f>
        <v>31</v>
      </c>
      <c r="V48" s="134">
        <v>33</v>
      </c>
      <c r="W48" s="134">
        <f>32+1</f>
        <v>33</v>
      </c>
      <c r="X48" s="22">
        <v>31</v>
      </c>
      <c r="Y48" s="22">
        <v>26</v>
      </c>
      <c r="Z48" s="134">
        <v>27</v>
      </c>
      <c r="AA48" s="134">
        <v>21</v>
      </c>
      <c r="AB48" s="134">
        <v>36</v>
      </c>
      <c r="AC48" s="134">
        <v>21</v>
      </c>
      <c r="AD48" s="135">
        <v>21</v>
      </c>
      <c r="AE48" s="343">
        <f t="shared" si="6"/>
        <v>0</v>
      </c>
      <c r="AF48" s="344">
        <f t="shared" si="7"/>
        <v>-0.19230769230769232</v>
      </c>
      <c r="AG48" s="345">
        <f t="shared" si="8"/>
        <v>-0.19230769230769232</v>
      </c>
      <c r="AH48" s="211">
        <f t="shared" si="9"/>
        <v>26</v>
      </c>
      <c r="AJ48" s="546">
        <f>RANK(AD48,($AD$8:$AD$12,$AD$14:$AD$15,$AD$18:$AD$36,$AD$40:$AD$51,$AD$54:$AD$62,$AD$65:$AD$69),0)</f>
        <v>22</v>
      </c>
    </row>
    <row r="49" spans="1:168" ht="15" customHeight="1" x14ac:dyDescent="0.2">
      <c r="A49" s="193" t="s">
        <v>26</v>
      </c>
      <c r="B49" s="133">
        <v>1</v>
      </c>
      <c r="C49" s="133">
        <v>5</v>
      </c>
      <c r="D49" s="133">
        <v>8</v>
      </c>
      <c r="E49" s="133">
        <v>5</v>
      </c>
      <c r="F49" s="133">
        <v>4</v>
      </c>
      <c r="G49" s="133">
        <v>9</v>
      </c>
      <c r="H49" s="22">
        <v>5</v>
      </c>
      <c r="I49" s="22">
        <v>8</v>
      </c>
      <c r="J49" s="133">
        <v>13</v>
      </c>
      <c r="K49" s="133">
        <v>8</v>
      </c>
      <c r="L49" s="133">
        <v>4</v>
      </c>
      <c r="M49" s="133">
        <v>12</v>
      </c>
      <c r="N49" s="22">
        <v>8</v>
      </c>
      <c r="O49" s="386">
        <v>13</v>
      </c>
      <c r="P49" s="386">
        <v>6</v>
      </c>
      <c r="Q49" s="454">
        <v>8</v>
      </c>
      <c r="R49" s="454">
        <v>7</v>
      </c>
      <c r="S49" s="504">
        <v>5</v>
      </c>
      <c r="T49" s="454">
        <v>11</v>
      </c>
      <c r="U49" s="397">
        <v>9</v>
      </c>
      <c r="V49" s="134">
        <v>12</v>
      </c>
      <c r="W49" s="134">
        <v>21</v>
      </c>
      <c r="X49" s="22">
        <v>18</v>
      </c>
      <c r="Y49" s="22">
        <v>30</v>
      </c>
      <c r="Z49" s="134">
        <v>12</v>
      </c>
      <c r="AA49" s="134">
        <v>20</v>
      </c>
      <c r="AB49" s="134">
        <v>14</v>
      </c>
      <c r="AC49" s="134">
        <v>9</v>
      </c>
      <c r="AD49" s="135">
        <v>8</v>
      </c>
      <c r="AE49" s="343" t="str">
        <f t="shared" si="6"/>
        <v xml:space="preserve"> </v>
      </c>
      <c r="AF49" s="344" t="str">
        <f t="shared" si="7"/>
        <v xml:space="preserve"> </v>
      </c>
      <c r="AG49" s="345" t="str">
        <f t="shared" si="8"/>
        <v xml:space="preserve"> </v>
      </c>
      <c r="AH49" s="211">
        <f t="shared" si="9"/>
        <v>10.333333333333334</v>
      </c>
      <c r="AJ49" s="546">
        <f>RANK(AD49,($AD$8:$AD$12,$AD$14:$AD$15,$AD$18:$AD$36,$AD$40:$AD$51,$AD$54:$AD$62,$AD$65:$AD$69),0)</f>
        <v>34</v>
      </c>
    </row>
    <row r="50" spans="1:168" ht="15" hidden="1" customHeight="1" x14ac:dyDescent="0.2">
      <c r="A50" s="194" t="s">
        <v>49</v>
      </c>
      <c r="B50" s="186">
        <v>8</v>
      </c>
      <c r="C50" s="186">
        <v>2</v>
      </c>
      <c r="D50" s="186"/>
      <c r="E50" s="186">
        <v>2</v>
      </c>
      <c r="F50" s="186">
        <v>0</v>
      </c>
      <c r="G50" s="186">
        <v>0</v>
      </c>
      <c r="H50" s="158">
        <v>0</v>
      </c>
      <c r="I50" s="158">
        <v>0</v>
      </c>
      <c r="J50" s="186">
        <v>0</v>
      </c>
      <c r="K50" s="186">
        <v>0</v>
      </c>
      <c r="L50" s="186">
        <v>0</v>
      </c>
      <c r="M50" s="186">
        <v>0</v>
      </c>
      <c r="N50" s="158">
        <v>0</v>
      </c>
      <c r="O50" s="394"/>
      <c r="P50" s="394"/>
      <c r="Q50" s="463"/>
      <c r="R50" s="463"/>
      <c r="S50" s="509"/>
      <c r="T50" s="463"/>
      <c r="U50" s="403"/>
      <c r="V50" s="145"/>
      <c r="W50" s="145"/>
      <c r="X50" s="158"/>
      <c r="Y50" s="158"/>
      <c r="Z50" s="145"/>
      <c r="AA50" s="145"/>
      <c r="AB50" s="145"/>
      <c r="AC50" s="145"/>
      <c r="AD50" s="144"/>
      <c r="AE50" s="343" t="str">
        <f t="shared" si="6"/>
        <v xml:space="preserve"> </v>
      </c>
      <c r="AF50" s="344" t="str">
        <f t="shared" si="7"/>
        <v xml:space="preserve"> </v>
      </c>
      <c r="AG50" s="345" t="str">
        <f t="shared" si="8"/>
        <v xml:space="preserve"> </v>
      </c>
      <c r="AH50" s="211" t="str">
        <f t="shared" si="9"/>
        <v xml:space="preserve">  </v>
      </c>
      <c r="AJ50" s="546">
        <f>RANK(AD50,($AD$8:$AD$12,$AD$14:$AD$15,$AD$18:$AD$36,$AD$40:$AD$51,$AD$54:$AD$62,$AD$65:$AD$69),0)</f>
        <v>47</v>
      </c>
    </row>
    <row r="51" spans="1:168" ht="15" customHeight="1" x14ac:dyDescent="0.25">
      <c r="A51" s="194" t="s">
        <v>132</v>
      </c>
      <c r="B51" s="186"/>
      <c r="C51" s="186"/>
      <c r="D51" s="186"/>
      <c r="E51" s="186"/>
      <c r="F51" s="186"/>
      <c r="G51" s="186"/>
      <c r="H51" s="158"/>
      <c r="I51" s="158"/>
      <c r="J51" s="186"/>
      <c r="K51" s="186"/>
      <c r="L51" s="186"/>
      <c r="M51" s="186"/>
      <c r="N51" s="158"/>
      <c r="O51" s="394"/>
      <c r="P51" s="394">
        <v>0</v>
      </c>
      <c r="Q51" s="463"/>
      <c r="R51" s="463">
        <v>0</v>
      </c>
      <c r="S51" s="509"/>
      <c r="T51" s="463">
        <v>0</v>
      </c>
      <c r="U51" s="403">
        <v>0</v>
      </c>
      <c r="V51" s="145">
        <v>0</v>
      </c>
      <c r="W51" s="145">
        <v>0</v>
      </c>
      <c r="X51" s="158">
        <v>0</v>
      </c>
      <c r="Y51" s="158">
        <v>0</v>
      </c>
      <c r="Z51" s="145">
        <v>1</v>
      </c>
      <c r="AA51" s="145">
        <v>6</v>
      </c>
      <c r="AB51" s="145">
        <v>1</v>
      </c>
      <c r="AC51" s="145">
        <v>6</v>
      </c>
      <c r="AD51" s="144">
        <v>5</v>
      </c>
      <c r="AE51" s="343" t="str">
        <f t="shared" si="6"/>
        <v xml:space="preserve"> </v>
      </c>
      <c r="AF51" s="344" t="str">
        <f t="shared" si="7"/>
        <v xml:space="preserve"> </v>
      </c>
      <c r="AG51" s="345" t="str">
        <f t="shared" si="8"/>
        <v xml:space="preserve"> </v>
      </c>
      <c r="AH51" s="211">
        <f t="shared" si="9"/>
        <v>4</v>
      </c>
      <c r="AJ51" s="516">
        <f>RANK(AD51,($AD$8:$AD$12,$AD$14:$AD$15,$AD$18:$AD$36,$AD$40:$AD$51,$AD$54:$AD$62,$AD$65:$AD$69),0)</f>
        <v>39</v>
      </c>
      <c r="AK51" s="545"/>
      <c r="AL51" s="545"/>
    </row>
    <row r="52" spans="1:168" s="42" customFormat="1" ht="15" customHeight="1" thickBot="1" x14ac:dyDescent="0.25">
      <c r="A52" s="50" t="s">
        <v>90</v>
      </c>
      <c r="B52" s="188">
        <f t="shared" ref="B52" si="11">SUM(B39:B50)</f>
        <v>139</v>
      </c>
      <c r="C52" s="188">
        <f t="shared" ref="C52:O52" si="12">SUM(C40:C50)</f>
        <v>153</v>
      </c>
      <c r="D52" s="188">
        <f t="shared" si="12"/>
        <v>183</v>
      </c>
      <c r="E52" s="188">
        <f t="shared" si="12"/>
        <v>214</v>
      </c>
      <c r="F52" s="188">
        <f t="shared" si="12"/>
        <v>179</v>
      </c>
      <c r="G52" s="188">
        <f t="shared" si="12"/>
        <v>151</v>
      </c>
      <c r="H52" s="188">
        <f t="shared" si="12"/>
        <v>168</v>
      </c>
      <c r="I52" s="188">
        <f t="shared" si="12"/>
        <v>167</v>
      </c>
      <c r="J52" s="188">
        <f t="shared" si="12"/>
        <v>193</v>
      </c>
      <c r="K52" s="188">
        <f t="shared" si="12"/>
        <v>146</v>
      </c>
      <c r="L52" s="188">
        <f t="shared" si="12"/>
        <v>177</v>
      </c>
      <c r="M52" s="188">
        <f t="shared" si="12"/>
        <v>169</v>
      </c>
      <c r="N52" s="188">
        <f t="shared" si="12"/>
        <v>166</v>
      </c>
      <c r="O52" s="395">
        <f t="shared" si="12"/>
        <v>192</v>
      </c>
      <c r="P52" s="416">
        <f t="shared" ref="P52:Q52" si="13">SUM(P40:P51)</f>
        <v>171</v>
      </c>
      <c r="Q52" s="464">
        <f t="shared" si="13"/>
        <v>180</v>
      </c>
      <c r="R52" s="464">
        <f>SUM(R40:R51)</f>
        <v>200</v>
      </c>
      <c r="S52" s="464">
        <f>SUM(S40:S51)</f>
        <v>189</v>
      </c>
      <c r="T52" s="464">
        <f>SUM(T40:T51)</f>
        <v>206</v>
      </c>
      <c r="U52" s="289">
        <f>SUM(U40:U51)</f>
        <v>213</v>
      </c>
      <c r="V52" s="188">
        <f t="shared" ref="V52:AD52" si="14">SUM(V40:V51)</f>
        <v>262</v>
      </c>
      <c r="W52" s="188">
        <f>SUM(W40:W51)</f>
        <v>248</v>
      </c>
      <c r="X52" s="188">
        <f t="shared" si="14"/>
        <v>245</v>
      </c>
      <c r="Y52" s="188">
        <f t="shared" si="14"/>
        <v>256</v>
      </c>
      <c r="Z52" s="188">
        <f t="shared" si="14"/>
        <v>239</v>
      </c>
      <c r="AA52" s="188">
        <f t="shared" si="14"/>
        <v>254</v>
      </c>
      <c r="AB52" s="188">
        <f t="shared" si="14"/>
        <v>216</v>
      </c>
      <c r="AC52" s="188">
        <f t="shared" si="14"/>
        <v>202</v>
      </c>
      <c r="AD52" s="188">
        <f t="shared" si="14"/>
        <v>175</v>
      </c>
      <c r="AE52" s="311">
        <f t="shared" si="6"/>
        <v>-0.13366336633663367</v>
      </c>
      <c r="AF52" s="189">
        <f t="shared" si="7"/>
        <v>-0.31640625</v>
      </c>
      <c r="AG52" s="190">
        <f t="shared" si="8"/>
        <v>-0.15048543689320387</v>
      </c>
      <c r="AH52" s="312">
        <f t="shared" si="9"/>
        <v>197.66666666666666</v>
      </c>
      <c r="AI52" s="153"/>
      <c r="AJ52" s="546"/>
      <c r="AK52" s="155"/>
      <c r="AL52" s="155"/>
      <c r="AM52" s="155"/>
      <c r="AN52" s="155"/>
      <c r="AO52" s="155"/>
      <c r="AP52" s="155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</row>
    <row r="53" spans="1:168" s="42" customFormat="1" ht="15" customHeight="1" thickTop="1" x14ac:dyDescent="0.2">
      <c r="A53" s="52" t="s">
        <v>91</v>
      </c>
      <c r="B53" s="53"/>
      <c r="C53" s="54"/>
      <c r="D53" s="54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56"/>
      <c r="Z53" s="56"/>
      <c r="AA53" s="56"/>
      <c r="AB53" s="56"/>
      <c r="AC53" s="56"/>
      <c r="AD53" s="56"/>
      <c r="AE53" s="56"/>
      <c r="AF53" s="57"/>
      <c r="AG53" s="57"/>
      <c r="AH53" s="330"/>
      <c r="AI53" s="153"/>
      <c r="AJ53" s="546"/>
      <c r="AK53" s="155"/>
      <c r="AL53" s="155"/>
      <c r="AM53" s="155"/>
      <c r="AN53" s="155"/>
      <c r="AO53" s="155"/>
      <c r="AP53" s="155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</row>
    <row r="54" spans="1:168" ht="15" customHeight="1" x14ac:dyDescent="0.2">
      <c r="A54" s="17" t="s">
        <v>1</v>
      </c>
      <c r="B54" s="133">
        <v>62</v>
      </c>
      <c r="C54" s="133">
        <v>49</v>
      </c>
      <c r="D54" s="133">
        <v>55</v>
      </c>
      <c r="E54" s="133">
        <v>60</v>
      </c>
      <c r="F54" s="133">
        <v>42</v>
      </c>
      <c r="G54" s="133">
        <v>26</v>
      </c>
      <c r="H54" s="22">
        <v>46</v>
      </c>
      <c r="I54" s="22">
        <v>30</v>
      </c>
      <c r="J54" s="133">
        <v>25</v>
      </c>
      <c r="K54" s="133">
        <v>32</v>
      </c>
      <c r="L54" s="133">
        <v>34</v>
      </c>
      <c r="M54" s="133">
        <v>40</v>
      </c>
      <c r="N54" s="22">
        <v>38</v>
      </c>
      <c r="O54" s="385">
        <v>30</v>
      </c>
      <c r="P54" s="385">
        <v>61</v>
      </c>
      <c r="Q54" s="454">
        <v>60</v>
      </c>
      <c r="R54" s="460">
        <v>53</v>
      </c>
      <c r="S54" s="504">
        <f>46+1</f>
        <v>47</v>
      </c>
      <c r="T54" s="454">
        <v>44</v>
      </c>
      <c r="U54" s="397">
        <f>56+1</f>
        <v>57</v>
      </c>
      <c r="V54" s="134">
        <v>53</v>
      </c>
      <c r="W54" s="134">
        <f>66+3</f>
        <v>69</v>
      </c>
      <c r="X54" s="22">
        <v>81</v>
      </c>
      <c r="Y54" s="22">
        <v>60</v>
      </c>
      <c r="Z54" s="134">
        <v>40</v>
      </c>
      <c r="AA54" s="134">
        <v>63</v>
      </c>
      <c r="AB54" s="134">
        <v>46</v>
      </c>
      <c r="AC54" s="134">
        <v>37</v>
      </c>
      <c r="AD54" s="135">
        <v>41</v>
      </c>
      <c r="AE54" s="136">
        <f t="shared" ref="AE54:AE63" si="15">IF(AD54=0," ",IF(AH54&gt;20,(AD54-AC54)/AC54," "))</f>
        <v>0.10810810810810811</v>
      </c>
      <c r="AF54" s="302">
        <f t="shared" ref="AF54:AF63" si="16">IF(AD54=0," ",IF(AH54&gt;20,(AD54-Y54)/Y54," "))</f>
        <v>-0.31666666666666665</v>
      </c>
      <c r="AG54" s="303">
        <f t="shared" ref="AG54:AG63" si="17">IF(AD54=0," ",(IF(AH54&gt;20,(AD54-T54)/T54," ")))</f>
        <v>-6.8181818181818177E-2</v>
      </c>
      <c r="AH54" s="211">
        <f t="shared" ref="AH54:AH63" si="18">IF(AB54&gt;0,AVERAGE(AB54:AD54),"  ")</f>
        <v>41.333333333333336</v>
      </c>
      <c r="AJ54" s="546">
        <f>RANK(AD54,($AD$8:$AD$12,$AD$14:$AD$15,$AD$18:$AD$36,$AD$40:$AD$51,$AD$54:$AD$62,$AD$65:$AD$69),0)</f>
        <v>15</v>
      </c>
    </row>
    <row r="55" spans="1:168" ht="15" customHeight="1" x14ac:dyDescent="0.2">
      <c r="A55" s="17" t="s">
        <v>4</v>
      </c>
      <c r="B55" s="133">
        <v>117</v>
      </c>
      <c r="C55" s="133">
        <v>114</v>
      </c>
      <c r="D55" s="133">
        <v>129</v>
      </c>
      <c r="E55" s="133">
        <v>134</v>
      </c>
      <c r="F55" s="133">
        <v>153</v>
      </c>
      <c r="G55" s="133">
        <v>141</v>
      </c>
      <c r="H55" s="22">
        <v>181</v>
      </c>
      <c r="I55" s="22">
        <v>171</v>
      </c>
      <c r="J55" s="133">
        <v>168</v>
      </c>
      <c r="K55" s="133">
        <v>100</v>
      </c>
      <c r="L55" s="133">
        <v>29</v>
      </c>
      <c r="M55" s="133">
        <v>16</v>
      </c>
      <c r="N55" s="22">
        <v>10</v>
      </c>
      <c r="O55" s="386">
        <v>14</v>
      </c>
      <c r="P55" s="386">
        <v>26</v>
      </c>
      <c r="Q55" s="454">
        <v>26</v>
      </c>
      <c r="R55" s="454">
        <v>20</v>
      </c>
      <c r="S55" s="504">
        <f>23+1</f>
        <v>24</v>
      </c>
      <c r="T55" s="454">
        <v>18</v>
      </c>
      <c r="U55" s="397">
        <v>21</v>
      </c>
      <c r="V55" s="134">
        <v>10</v>
      </c>
      <c r="W55" s="134">
        <v>12</v>
      </c>
      <c r="X55" s="22">
        <v>1</v>
      </c>
      <c r="Y55" s="22">
        <v>0</v>
      </c>
      <c r="Z55" s="134">
        <v>0</v>
      </c>
      <c r="AA55" s="134">
        <v>0</v>
      </c>
      <c r="AB55" s="134">
        <v>0</v>
      </c>
      <c r="AC55" s="134">
        <v>0</v>
      </c>
      <c r="AD55" s="135">
        <v>0</v>
      </c>
      <c r="AE55" s="136" t="str">
        <f t="shared" si="15"/>
        <v xml:space="preserve"> </v>
      </c>
      <c r="AF55" s="302" t="str">
        <f t="shared" si="16"/>
        <v xml:space="preserve"> </v>
      </c>
      <c r="AG55" s="303" t="str">
        <f t="shared" si="17"/>
        <v xml:space="preserve"> </v>
      </c>
      <c r="AH55" s="211" t="str">
        <f t="shared" si="18"/>
        <v xml:space="preserve">  </v>
      </c>
      <c r="AJ55" s="546">
        <f>RANK(AD55,($AD$8:$AD$12,$AD$14:$AD$15,$AD$18:$AD$36,$AD$40:$AD$51,$AD$54:$AD$62,$AD$65:$AD$69),0)</f>
        <v>47</v>
      </c>
    </row>
    <row r="56" spans="1:168" ht="15" customHeight="1" x14ac:dyDescent="0.25">
      <c r="A56" s="32" t="s">
        <v>123</v>
      </c>
      <c r="B56" s="133"/>
      <c r="C56" s="133"/>
      <c r="D56" s="133"/>
      <c r="E56" s="133"/>
      <c r="F56" s="133"/>
      <c r="G56" s="133"/>
      <c r="H56" s="22"/>
      <c r="I56" s="22"/>
      <c r="J56" s="133"/>
      <c r="K56" s="133"/>
      <c r="L56" s="133"/>
      <c r="M56" s="133"/>
      <c r="N56" s="22"/>
      <c r="O56" s="386"/>
      <c r="P56" s="386"/>
      <c r="Q56" s="454"/>
      <c r="R56" s="454">
        <v>0</v>
      </c>
      <c r="S56" s="504"/>
      <c r="T56" s="454">
        <v>0</v>
      </c>
      <c r="U56" s="397"/>
      <c r="V56" s="134">
        <v>2</v>
      </c>
      <c r="W56" s="134">
        <v>3</v>
      </c>
      <c r="X56" s="22">
        <v>8</v>
      </c>
      <c r="Y56" s="22">
        <v>10</v>
      </c>
      <c r="Z56" s="134">
        <v>13</v>
      </c>
      <c r="AA56" s="134">
        <v>8</v>
      </c>
      <c r="AB56" s="134">
        <v>5</v>
      </c>
      <c r="AC56" s="134">
        <v>5</v>
      </c>
      <c r="AD56" s="135">
        <v>4</v>
      </c>
      <c r="AE56" s="136" t="str">
        <f t="shared" si="15"/>
        <v xml:space="preserve"> </v>
      </c>
      <c r="AF56" s="302" t="str">
        <f t="shared" si="16"/>
        <v xml:space="preserve"> </v>
      </c>
      <c r="AG56" s="303" t="str">
        <f t="shared" si="17"/>
        <v xml:space="preserve"> </v>
      </c>
      <c r="AH56" s="211">
        <f t="shared" si="18"/>
        <v>4.666666666666667</v>
      </c>
      <c r="AJ56" s="516">
        <f>RANK(AD56,($AD$8:$AD$12,$AD$14:$AD$15,$AD$18:$AD$36,$AD$40:$AD$51,$AD$54:$AD$62,$AD$65:$AD$69),0)</f>
        <v>40</v>
      </c>
    </row>
    <row r="57" spans="1:168" ht="15" customHeight="1" x14ac:dyDescent="0.2">
      <c r="A57" s="25" t="s">
        <v>8</v>
      </c>
      <c r="B57" s="176">
        <v>8</v>
      </c>
      <c r="C57" s="176">
        <v>14</v>
      </c>
      <c r="D57" s="176">
        <v>6</v>
      </c>
      <c r="E57" s="176">
        <v>14</v>
      </c>
      <c r="F57" s="176">
        <v>1</v>
      </c>
      <c r="G57" s="176">
        <v>6</v>
      </c>
      <c r="H57" s="177">
        <v>11</v>
      </c>
      <c r="I57" s="177">
        <v>2</v>
      </c>
      <c r="J57" s="176">
        <v>2</v>
      </c>
      <c r="K57" s="176">
        <v>3</v>
      </c>
      <c r="L57" s="176">
        <v>8</v>
      </c>
      <c r="M57" s="176">
        <v>8</v>
      </c>
      <c r="N57" s="177">
        <v>5</v>
      </c>
      <c r="O57" s="392">
        <v>10</v>
      </c>
      <c r="P57" s="392">
        <v>6</v>
      </c>
      <c r="Q57" s="461">
        <v>16</v>
      </c>
      <c r="R57" s="461">
        <f>10+2</f>
        <v>12</v>
      </c>
      <c r="S57" s="508">
        <v>17</v>
      </c>
      <c r="T57" s="461">
        <v>13</v>
      </c>
      <c r="U57" s="402">
        <v>15</v>
      </c>
      <c r="V57" s="152">
        <v>20</v>
      </c>
      <c r="W57" s="152">
        <f>11+3</f>
        <v>14</v>
      </c>
      <c r="X57" s="177">
        <v>18</v>
      </c>
      <c r="Y57" s="177">
        <v>26</v>
      </c>
      <c r="Z57" s="152">
        <v>10</v>
      </c>
      <c r="AA57" s="152">
        <v>22</v>
      </c>
      <c r="AB57" s="152">
        <v>18</v>
      </c>
      <c r="AC57" s="152">
        <v>8</v>
      </c>
      <c r="AD57" s="178">
        <v>14</v>
      </c>
      <c r="AE57" s="187" t="str">
        <f t="shared" si="15"/>
        <v xml:space="preserve"> </v>
      </c>
      <c r="AF57" s="306" t="str">
        <f t="shared" si="16"/>
        <v xml:space="preserve"> </v>
      </c>
      <c r="AG57" s="307" t="str">
        <f t="shared" si="17"/>
        <v xml:space="preserve"> </v>
      </c>
      <c r="AH57" s="363">
        <f t="shared" si="18"/>
        <v>13.333333333333334</v>
      </c>
      <c r="AJ57" s="546">
        <f>RANK(AD57,($AD$8:$AD$12,$AD$14:$AD$15,$AD$18:$AD$36,$AD$40:$AD$51,$AD$54:$AD$62,$AD$65:$AD$69),0)</f>
        <v>27</v>
      </c>
    </row>
    <row r="58" spans="1:168" ht="15" customHeight="1" x14ac:dyDescent="0.2">
      <c r="A58" s="17" t="s">
        <v>13</v>
      </c>
      <c r="B58" s="133"/>
      <c r="C58" s="133"/>
      <c r="D58" s="133"/>
      <c r="E58" s="133"/>
      <c r="F58" s="133"/>
      <c r="G58" s="133"/>
      <c r="H58" s="22"/>
      <c r="I58" s="22"/>
      <c r="J58" s="133">
        <v>23</v>
      </c>
      <c r="K58" s="133">
        <v>28</v>
      </c>
      <c r="L58" s="133">
        <v>42</v>
      </c>
      <c r="M58" s="133">
        <v>59</v>
      </c>
      <c r="N58" s="22">
        <v>66</v>
      </c>
      <c r="O58" s="386">
        <v>61</v>
      </c>
      <c r="P58" s="386">
        <v>90</v>
      </c>
      <c r="Q58" s="454">
        <v>90</v>
      </c>
      <c r="R58" s="454">
        <f>48+7</f>
        <v>55</v>
      </c>
      <c r="S58" s="504">
        <f>58+5</f>
        <v>63</v>
      </c>
      <c r="T58" s="454">
        <v>43</v>
      </c>
      <c r="U58" s="397">
        <f>48+6</f>
        <v>54</v>
      </c>
      <c r="V58" s="134">
        <v>46</v>
      </c>
      <c r="W58" s="134">
        <f>49+3</f>
        <v>52</v>
      </c>
      <c r="X58" s="22">
        <v>75</v>
      </c>
      <c r="Y58" s="22">
        <v>56</v>
      </c>
      <c r="Z58" s="134">
        <v>66</v>
      </c>
      <c r="AA58" s="134">
        <v>56</v>
      </c>
      <c r="AB58" s="134">
        <v>64</v>
      </c>
      <c r="AC58" s="134">
        <v>55</v>
      </c>
      <c r="AD58" s="135">
        <v>44</v>
      </c>
      <c r="AE58" s="136">
        <f t="shared" si="15"/>
        <v>-0.2</v>
      </c>
      <c r="AF58" s="302">
        <f t="shared" si="16"/>
        <v>-0.21428571428571427</v>
      </c>
      <c r="AG58" s="303">
        <f t="shared" si="17"/>
        <v>2.3255813953488372E-2</v>
      </c>
      <c r="AH58" s="211">
        <f t="shared" si="18"/>
        <v>54.333333333333336</v>
      </c>
      <c r="AJ58" s="546">
        <f>RANK(AD58,($AD$8:$AD$12,$AD$14:$AD$15,$AD$18:$AD$36,$AD$40:$AD$51,$AD$54:$AD$62,$AD$65:$AD$69),0)</f>
        <v>13</v>
      </c>
    </row>
    <row r="59" spans="1:168" ht="15" customHeight="1" x14ac:dyDescent="0.2">
      <c r="A59" s="18" t="s">
        <v>75</v>
      </c>
      <c r="B59" s="139">
        <v>22</v>
      </c>
      <c r="C59" s="139">
        <v>16</v>
      </c>
      <c r="D59" s="139">
        <v>22</v>
      </c>
      <c r="E59" s="139">
        <v>38</v>
      </c>
      <c r="F59" s="139">
        <v>36</v>
      </c>
      <c r="G59" s="139">
        <v>33</v>
      </c>
      <c r="H59" s="27">
        <v>56</v>
      </c>
      <c r="I59" s="27">
        <v>69</v>
      </c>
      <c r="J59" s="139">
        <v>65</v>
      </c>
      <c r="K59" s="139">
        <v>36</v>
      </c>
      <c r="L59" s="139">
        <v>38</v>
      </c>
      <c r="M59" s="139">
        <v>25</v>
      </c>
      <c r="N59" s="27">
        <v>25</v>
      </c>
      <c r="O59" s="387">
        <v>29</v>
      </c>
      <c r="P59" s="387">
        <v>21</v>
      </c>
      <c r="Q59" s="455">
        <v>27</v>
      </c>
      <c r="R59" s="455">
        <f>32+3</f>
        <v>35</v>
      </c>
      <c r="S59" s="505">
        <f>49+5</f>
        <v>54</v>
      </c>
      <c r="T59" s="455">
        <v>64</v>
      </c>
      <c r="U59" s="398">
        <f>56+8</f>
        <v>64</v>
      </c>
      <c r="V59" s="140">
        <v>67</v>
      </c>
      <c r="W59" s="140">
        <f>38+16</f>
        <v>54</v>
      </c>
      <c r="X59" s="27">
        <v>59</v>
      </c>
      <c r="Y59" s="27">
        <v>56</v>
      </c>
      <c r="Z59" s="140">
        <v>68</v>
      </c>
      <c r="AA59" s="140">
        <v>51</v>
      </c>
      <c r="AB59" s="140">
        <v>66</v>
      </c>
      <c r="AC59" s="140">
        <v>48</v>
      </c>
      <c r="AD59" s="141">
        <v>55</v>
      </c>
      <c r="AE59" s="142">
        <f t="shared" si="15"/>
        <v>0.14583333333333334</v>
      </c>
      <c r="AF59" s="308">
        <f t="shared" si="16"/>
        <v>-1.7857142857142856E-2</v>
      </c>
      <c r="AG59" s="309">
        <f t="shared" si="17"/>
        <v>-0.140625</v>
      </c>
      <c r="AH59" s="364">
        <f t="shared" si="18"/>
        <v>56.333333333333336</v>
      </c>
      <c r="AJ59" s="546">
        <f>RANK(AD59,($AD$8:$AD$12,$AD$14:$AD$15,$AD$18:$AD$36,$AD$40:$AD$51,$AD$54:$AD$62,$AD$65:$AD$69),0)</f>
        <v>12</v>
      </c>
    </row>
    <row r="60" spans="1:168" ht="15" customHeight="1" x14ac:dyDescent="0.2">
      <c r="A60" s="1" t="s">
        <v>124</v>
      </c>
      <c r="B60" s="133"/>
      <c r="C60" s="133"/>
      <c r="D60" s="133"/>
      <c r="E60" s="133"/>
      <c r="F60" s="133"/>
      <c r="G60" s="133"/>
      <c r="H60" s="22"/>
      <c r="I60" s="22"/>
      <c r="J60" s="133"/>
      <c r="K60" s="133"/>
      <c r="L60" s="133"/>
      <c r="M60" s="133"/>
      <c r="N60" s="22"/>
      <c r="O60" s="386"/>
      <c r="P60" s="386"/>
      <c r="Q60" s="454"/>
      <c r="R60" s="454">
        <v>0</v>
      </c>
      <c r="S60" s="504"/>
      <c r="T60" s="454">
        <v>0</v>
      </c>
      <c r="U60" s="397"/>
      <c r="V60" s="134"/>
      <c r="W60" s="134">
        <v>2</v>
      </c>
      <c r="X60" s="22">
        <v>5</v>
      </c>
      <c r="Y60" s="22">
        <v>1</v>
      </c>
      <c r="Z60" s="134">
        <v>3</v>
      </c>
      <c r="AA60" s="134">
        <v>3</v>
      </c>
      <c r="AB60" s="134">
        <v>2</v>
      </c>
      <c r="AC60" s="134">
        <v>2</v>
      </c>
      <c r="AD60" s="135">
        <v>9</v>
      </c>
      <c r="AE60" s="136" t="str">
        <f t="shared" si="15"/>
        <v xml:space="preserve"> </v>
      </c>
      <c r="AF60" s="302" t="str">
        <f t="shared" si="16"/>
        <v xml:space="preserve"> </v>
      </c>
      <c r="AG60" s="303" t="str">
        <f t="shared" si="17"/>
        <v xml:space="preserve"> </v>
      </c>
      <c r="AH60" s="211">
        <f t="shared" si="18"/>
        <v>4.333333333333333</v>
      </c>
      <c r="AJ60" s="546">
        <f>RANK(AD60,($AD$8:$AD$12,$AD$14:$AD$15,$AD$18:$AD$36,$AD$40:$AD$51,$AD$54:$AD$62,$AD$65:$AD$69),0)</f>
        <v>33</v>
      </c>
    </row>
    <row r="61" spans="1:168" ht="15" customHeight="1" x14ac:dyDescent="0.2">
      <c r="A61" s="17" t="s">
        <v>20</v>
      </c>
      <c r="B61" s="133"/>
      <c r="C61" s="133"/>
      <c r="D61" s="133"/>
      <c r="E61" s="133"/>
      <c r="F61" s="133"/>
      <c r="G61" s="133"/>
      <c r="H61" s="22"/>
      <c r="I61" s="22"/>
      <c r="J61" s="133">
        <v>1</v>
      </c>
      <c r="K61" s="133">
        <v>20</v>
      </c>
      <c r="L61" s="133">
        <v>54</v>
      </c>
      <c r="M61" s="133">
        <v>91</v>
      </c>
      <c r="N61" s="22">
        <v>95</v>
      </c>
      <c r="O61" s="386">
        <v>91</v>
      </c>
      <c r="P61" s="386">
        <v>102</v>
      </c>
      <c r="Q61" s="454">
        <v>103</v>
      </c>
      <c r="R61" s="454">
        <f>101+4</f>
        <v>105</v>
      </c>
      <c r="S61" s="504">
        <f>95+3</f>
        <v>98</v>
      </c>
      <c r="T61" s="454">
        <v>89</v>
      </c>
      <c r="U61" s="397">
        <f>95+4</f>
        <v>99</v>
      </c>
      <c r="V61" s="134">
        <v>108</v>
      </c>
      <c r="W61" s="134">
        <v>109</v>
      </c>
      <c r="X61" s="22">
        <v>98</v>
      </c>
      <c r="Y61" s="22">
        <v>94</v>
      </c>
      <c r="Z61" s="134">
        <v>101</v>
      </c>
      <c r="AA61" s="134">
        <v>96</v>
      </c>
      <c r="AB61" s="134">
        <v>94</v>
      </c>
      <c r="AC61" s="134">
        <v>74</v>
      </c>
      <c r="AD61" s="135">
        <v>92</v>
      </c>
      <c r="AE61" s="136">
        <f t="shared" si="15"/>
        <v>0.24324324324324326</v>
      </c>
      <c r="AF61" s="302">
        <f t="shared" si="16"/>
        <v>-2.1276595744680851E-2</v>
      </c>
      <c r="AG61" s="303">
        <f t="shared" si="17"/>
        <v>3.3707865168539325E-2</v>
      </c>
      <c r="AH61" s="211">
        <f t="shared" si="18"/>
        <v>86.666666666666671</v>
      </c>
      <c r="AJ61" s="546">
        <f>RANK(AD61,($AD$8:$AD$12,$AD$14:$AD$15,$AD$18:$AD$36,$AD$40:$AD$51,$AD$54:$AD$62,$AD$65:$AD$69),0)</f>
        <v>6</v>
      </c>
    </row>
    <row r="62" spans="1:168" ht="15" customHeight="1" x14ac:dyDescent="0.2">
      <c r="A62" s="17" t="s">
        <v>21</v>
      </c>
      <c r="B62" s="133"/>
      <c r="C62" s="133"/>
      <c r="D62" s="133"/>
      <c r="E62" s="133"/>
      <c r="F62" s="133"/>
      <c r="G62" s="133"/>
      <c r="H62" s="22"/>
      <c r="I62" s="22"/>
      <c r="J62" s="133">
        <v>11</v>
      </c>
      <c r="K62" s="133">
        <v>37</v>
      </c>
      <c r="L62" s="133">
        <v>61</v>
      </c>
      <c r="M62" s="133">
        <v>54</v>
      </c>
      <c r="N62" s="22">
        <v>68</v>
      </c>
      <c r="O62" s="386">
        <v>100</v>
      </c>
      <c r="P62" s="386">
        <v>93</v>
      </c>
      <c r="Q62" s="454">
        <v>72</v>
      </c>
      <c r="R62" s="454">
        <f>47+3</f>
        <v>50</v>
      </c>
      <c r="S62" s="504">
        <f>51+2</f>
        <v>53</v>
      </c>
      <c r="T62" s="454">
        <v>57</v>
      </c>
      <c r="U62" s="397">
        <f>45+3</f>
        <v>48</v>
      </c>
      <c r="V62" s="134">
        <v>70</v>
      </c>
      <c r="W62" s="134">
        <v>72</v>
      </c>
      <c r="X62" s="22">
        <v>78</v>
      </c>
      <c r="Y62" s="22">
        <v>81</v>
      </c>
      <c r="Z62" s="134">
        <v>79</v>
      </c>
      <c r="AA62" s="134">
        <v>85</v>
      </c>
      <c r="AB62" s="134">
        <v>107</v>
      </c>
      <c r="AC62" s="134">
        <v>67</v>
      </c>
      <c r="AD62" s="135">
        <v>86</v>
      </c>
      <c r="AE62" s="136">
        <f t="shared" si="15"/>
        <v>0.28358208955223879</v>
      </c>
      <c r="AF62" s="302">
        <f t="shared" si="16"/>
        <v>6.1728395061728392E-2</v>
      </c>
      <c r="AG62" s="303">
        <f t="shared" si="17"/>
        <v>0.50877192982456143</v>
      </c>
      <c r="AH62" s="211">
        <f t="shared" si="18"/>
        <v>86.666666666666671</v>
      </c>
      <c r="AJ62" s="546">
        <f>RANK(AD62,($AD$8:$AD$12,$AD$14:$AD$15,$AD$18:$AD$36,$AD$40:$AD$51,$AD$54:$AD$62,$AD$65:$AD$69),0)</f>
        <v>7</v>
      </c>
    </row>
    <row r="63" spans="1:168" s="42" customFormat="1" ht="15" customHeight="1" thickBot="1" x14ac:dyDescent="0.25">
      <c r="A63" s="320" t="s">
        <v>92</v>
      </c>
      <c r="B63" s="321">
        <f t="shared" ref="B63:AD63" si="19">SUM(B54:B62)</f>
        <v>209</v>
      </c>
      <c r="C63" s="321">
        <f t="shared" si="19"/>
        <v>193</v>
      </c>
      <c r="D63" s="321">
        <f t="shared" si="19"/>
        <v>212</v>
      </c>
      <c r="E63" s="321">
        <f t="shared" si="19"/>
        <v>246</v>
      </c>
      <c r="F63" s="321">
        <f t="shared" si="19"/>
        <v>232</v>
      </c>
      <c r="G63" s="321">
        <f t="shared" si="19"/>
        <v>206</v>
      </c>
      <c r="H63" s="321">
        <f t="shared" si="19"/>
        <v>294</v>
      </c>
      <c r="I63" s="321">
        <f t="shared" si="19"/>
        <v>272</v>
      </c>
      <c r="J63" s="321">
        <f t="shared" si="19"/>
        <v>295</v>
      </c>
      <c r="K63" s="321">
        <f t="shared" si="19"/>
        <v>256</v>
      </c>
      <c r="L63" s="321">
        <f t="shared" si="19"/>
        <v>266</v>
      </c>
      <c r="M63" s="321">
        <f t="shared" si="19"/>
        <v>293</v>
      </c>
      <c r="N63" s="321">
        <f t="shared" si="19"/>
        <v>307</v>
      </c>
      <c r="O63" s="404">
        <f t="shared" si="19"/>
        <v>335</v>
      </c>
      <c r="P63" s="404">
        <f t="shared" si="19"/>
        <v>399</v>
      </c>
      <c r="Q63" s="465">
        <f t="shared" si="19"/>
        <v>394</v>
      </c>
      <c r="R63" s="465">
        <f>SUM(R54:R62)</f>
        <v>330</v>
      </c>
      <c r="S63" s="465">
        <f t="shared" si="19"/>
        <v>356</v>
      </c>
      <c r="T63" s="465">
        <f t="shared" si="19"/>
        <v>328</v>
      </c>
      <c r="U63" s="322">
        <f t="shared" si="19"/>
        <v>358</v>
      </c>
      <c r="V63" s="321">
        <f t="shared" si="19"/>
        <v>376</v>
      </c>
      <c r="W63" s="321">
        <f t="shared" si="19"/>
        <v>387</v>
      </c>
      <c r="X63" s="321">
        <f t="shared" si="19"/>
        <v>423</v>
      </c>
      <c r="Y63" s="321">
        <f t="shared" si="19"/>
        <v>384</v>
      </c>
      <c r="Z63" s="321">
        <f t="shared" si="19"/>
        <v>380</v>
      </c>
      <c r="AA63" s="321">
        <f t="shared" si="19"/>
        <v>384</v>
      </c>
      <c r="AB63" s="321">
        <f t="shared" si="19"/>
        <v>402</v>
      </c>
      <c r="AC63" s="321">
        <f t="shared" si="19"/>
        <v>296</v>
      </c>
      <c r="AD63" s="321">
        <f t="shared" si="19"/>
        <v>345</v>
      </c>
      <c r="AE63" s="323">
        <f t="shared" si="15"/>
        <v>0.16554054054054054</v>
      </c>
      <c r="AF63" s="324">
        <f t="shared" si="16"/>
        <v>-0.1015625</v>
      </c>
      <c r="AG63" s="325">
        <f t="shared" si="17"/>
        <v>5.1829268292682924E-2</v>
      </c>
      <c r="AH63" s="326">
        <f t="shared" si="18"/>
        <v>347.66666666666669</v>
      </c>
      <c r="AI63" s="153"/>
      <c r="AJ63" s="546"/>
      <c r="AK63" s="155"/>
      <c r="AL63" s="155"/>
      <c r="AM63" s="155"/>
      <c r="AN63" s="155"/>
      <c r="AO63" s="155"/>
      <c r="AP63" s="155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</row>
    <row r="64" spans="1:168" ht="15" customHeight="1" thickTop="1" x14ac:dyDescent="0.2">
      <c r="A64" s="313" t="s">
        <v>93</v>
      </c>
      <c r="B64" s="314"/>
      <c r="C64" s="315"/>
      <c r="D64" s="315"/>
      <c r="E64" s="314"/>
      <c r="F64" s="316"/>
      <c r="G64" s="316"/>
      <c r="H64" s="316"/>
      <c r="I64" s="314"/>
      <c r="J64" s="314"/>
      <c r="K64" s="314"/>
      <c r="L64" s="314"/>
      <c r="M64" s="314"/>
      <c r="N64" s="314"/>
      <c r="O64" s="317"/>
      <c r="P64" s="407"/>
      <c r="Q64" s="317"/>
      <c r="R64" s="317"/>
      <c r="S64" s="317"/>
      <c r="T64" s="317"/>
      <c r="U64" s="317"/>
      <c r="V64" s="317"/>
      <c r="W64" s="317"/>
      <c r="X64" s="318"/>
      <c r="Y64" s="318"/>
      <c r="Z64" s="318"/>
      <c r="AA64" s="318"/>
      <c r="AB64" s="318"/>
      <c r="AC64" s="318"/>
      <c r="AD64" s="318"/>
      <c r="AE64" s="318"/>
      <c r="AF64" s="319"/>
      <c r="AG64" s="319"/>
      <c r="AH64" s="331"/>
      <c r="AI64" s="154"/>
      <c r="AK64" s="159"/>
      <c r="AL64" s="159"/>
      <c r="AM64" s="159"/>
      <c r="AN64" s="159"/>
      <c r="AO64" s="159"/>
      <c r="AP64" s="1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  <c r="FK64" s="59"/>
      <c r="FL64" s="59"/>
    </row>
    <row r="65" spans="1:177" ht="15" customHeight="1" x14ac:dyDescent="0.2">
      <c r="A65" s="17" t="s">
        <v>9</v>
      </c>
      <c r="B65" s="133"/>
      <c r="C65" s="133">
        <v>0</v>
      </c>
      <c r="D65" s="133"/>
      <c r="E65" s="133">
        <v>0</v>
      </c>
      <c r="F65" s="133">
        <v>0</v>
      </c>
      <c r="G65" s="133">
        <v>0</v>
      </c>
      <c r="H65" s="22">
        <v>0</v>
      </c>
      <c r="I65" s="22">
        <v>0</v>
      </c>
      <c r="J65" s="133">
        <v>0</v>
      </c>
      <c r="K65" s="133">
        <v>0</v>
      </c>
      <c r="L65" s="133">
        <v>12</v>
      </c>
      <c r="M65" s="133">
        <v>22</v>
      </c>
      <c r="N65" s="22">
        <v>28</v>
      </c>
      <c r="O65" s="385">
        <v>34</v>
      </c>
      <c r="P65" s="386">
        <v>43</v>
      </c>
      <c r="Q65" s="454">
        <v>36</v>
      </c>
      <c r="R65" s="460">
        <f>43+2</f>
        <v>45</v>
      </c>
      <c r="S65" s="504">
        <v>39</v>
      </c>
      <c r="T65" s="454">
        <v>56</v>
      </c>
      <c r="U65" s="397">
        <f>70+1</f>
        <v>71</v>
      </c>
      <c r="V65" s="134">
        <v>42</v>
      </c>
      <c r="W65" s="134">
        <f>55+2</f>
        <v>57</v>
      </c>
      <c r="X65" s="22">
        <v>59</v>
      </c>
      <c r="Y65" s="22">
        <v>48</v>
      </c>
      <c r="Z65" s="134">
        <v>39</v>
      </c>
      <c r="AA65" s="134">
        <v>48</v>
      </c>
      <c r="AB65" s="134">
        <v>58</v>
      </c>
      <c r="AC65" s="134">
        <v>49</v>
      </c>
      <c r="AD65" s="135">
        <v>56</v>
      </c>
      <c r="AE65" s="136">
        <f t="shared" ref="AE65:AE72" si="20">IF(AD65=0," ",IF(AH65&gt;20,(AD65-AC65)/AC65," "))</f>
        <v>0.14285714285714285</v>
      </c>
      <c r="AF65" s="302">
        <f t="shared" ref="AF65:AF72" si="21">IF(AD65=0," ",IF(AH65&gt;20,(AD65-Y65)/Y65," "))</f>
        <v>0.16666666666666666</v>
      </c>
      <c r="AG65" s="303">
        <f t="shared" ref="AG65:AG72" si="22">IF(AD65=0," ",(IF(AH65&gt;20,(AD65-T65)/T65," ")))</f>
        <v>0</v>
      </c>
      <c r="AH65" s="211">
        <f t="shared" ref="AH65:AH72" si="23">IF(AB65&gt;0,AVERAGE(AB65:AD65),"  ")</f>
        <v>54.333333333333336</v>
      </c>
      <c r="AJ65" s="546">
        <f>RANK(AD65,($AD$8:$AD$12,$AD$14:$AD$15,$AD$18:$AD$36,$AD$40:$AD$51,$AD$54:$AD$62,$AD$65:$AD$69),0)</f>
        <v>11</v>
      </c>
    </row>
    <row r="66" spans="1:177" ht="15" customHeight="1" x14ac:dyDescent="0.2">
      <c r="A66" s="17" t="s">
        <v>10</v>
      </c>
      <c r="B66" s="133">
        <v>163</v>
      </c>
      <c r="C66" s="133">
        <v>161</v>
      </c>
      <c r="D66" s="133">
        <v>185</v>
      </c>
      <c r="E66" s="133">
        <v>160</v>
      </c>
      <c r="F66" s="133">
        <v>167</v>
      </c>
      <c r="G66" s="133">
        <v>137</v>
      </c>
      <c r="H66" s="22">
        <v>168</v>
      </c>
      <c r="I66" s="22">
        <v>169</v>
      </c>
      <c r="J66" s="133">
        <v>194</v>
      </c>
      <c r="K66" s="133">
        <v>145</v>
      </c>
      <c r="L66" s="133">
        <v>108</v>
      </c>
      <c r="M66" s="133">
        <v>129</v>
      </c>
      <c r="N66" s="22">
        <v>113</v>
      </c>
      <c r="O66" s="386">
        <v>98</v>
      </c>
      <c r="P66" s="386">
        <v>97</v>
      </c>
      <c r="Q66" s="454">
        <v>93</v>
      </c>
      <c r="R66" s="454">
        <f>96+4</f>
        <v>100</v>
      </c>
      <c r="S66" s="504">
        <f>113+3</f>
        <v>116</v>
      </c>
      <c r="T66" s="454">
        <v>117</v>
      </c>
      <c r="U66" s="397">
        <f>115+9</f>
        <v>124</v>
      </c>
      <c r="V66" s="134">
        <v>102</v>
      </c>
      <c r="W66" s="134">
        <v>122</v>
      </c>
      <c r="X66" s="22">
        <v>113</v>
      </c>
      <c r="Y66" s="22">
        <v>81</v>
      </c>
      <c r="Z66" s="134">
        <v>90</v>
      </c>
      <c r="AA66" s="134">
        <v>77</v>
      </c>
      <c r="AB66" s="134">
        <v>49</v>
      </c>
      <c r="AC66" s="134">
        <v>76</v>
      </c>
      <c r="AD66" s="135">
        <v>78</v>
      </c>
      <c r="AE66" s="136">
        <f t="shared" si="20"/>
        <v>2.6315789473684209E-2</v>
      </c>
      <c r="AF66" s="302">
        <f t="shared" si="21"/>
        <v>-3.7037037037037035E-2</v>
      </c>
      <c r="AG66" s="303">
        <f t="shared" si="22"/>
        <v>-0.33333333333333331</v>
      </c>
      <c r="AH66" s="211">
        <f t="shared" si="23"/>
        <v>67.666666666666671</v>
      </c>
      <c r="AJ66" s="546">
        <f>RANK(AD66,($AD$8:$AD$12,$AD$14:$AD$15,$AD$18:$AD$36,$AD$40:$AD$51,$AD$54:$AD$62,$AD$65:$AD$69),0)</f>
        <v>8</v>
      </c>
    </row>
    <row r="67" spans="1:177" ht="15" customHeight="1" x14ac:dyDescent="0.2">
      <c r="A67" s="25" t="s">
        <v>16</v>
      </c>
      <c r="B67" s="176">
        <v>0</v>
      </c>
      <c r="C67" s="176">
        <v>0</v>
      </c>
      <c r="D67" s="176"/>
      <c r="E67" s="176">
        <v>0</v>
      </c>
      <c r="F67" s="176">
        <v>0</v>
      </c>
      <c r="G67" s="176">
        <v>0</v>
      </c>
      <c r="H67" s="177">
        <v>0</v>
      </c>
      <c r="I67" s="177">
        <v>0</v>
      </c>
      <c r="J67" s="176">
        <v>0</v>
      </c>
      <c r="K67" s="176">
        <v>1</v>
      </c>
      <c r="L67" s="176">
        <v>7</v>
      </c>
      <c r="M67" s="176">
        <v>4</v>
      </c>
      <c r="N67" s="177">
        <v>2</v>
      </c>
      <c r="O67" s="392">
        <v>3</v>
      </c>
      <c r="P67" s="392">
        <v>5</v>
      </c>
      <c r="Q67" s="461">
        <v>4</v>
      </c>
      <c r="R67" s="461">
        <f>14+1</f>
        <v>15</v>
      </c>
      <c r="S67" s="508">
        <v>19</v>
      </c>
      <c r="T67" s="461">
        <v>22</v>
      </c>
      <c r="U67" s="402">
        <f>14+1</f>
        <v>15</v>
      </c>
      <c r="V67" s="152">
        <v>26</v>
      </c>
      <c r="W67" s="152">
        <f>26+1</f>
        <v>27</v>
      </c>
      <c r="X67" s="177">
        <v>12</v>
      </c>
      <c r="Y67" s="177">
        <v>1</v>
      </c>
      <c r="Z67" s="152">
        <v>0</v>
      </c>
      <c r="AA67" s="152">
        <v>0</v>
      </c>
      <c r="AB67" s="152">
        <v>0</v>
      </c>
      <c r="AC67" s="152">
        <v>0</v>
      </c>
      <c r="AD67" s="178">
        <v>0</v>
      </c>
      <c r="AE67" s="136" t="str">
        <f t="shared" si="20"/>
        <v xml:space="preserve"> </v>
      </c>
      <c r="AF67" s="302" t="str">
        <f t="shared" si="21"/>
        <v xml:space="preserve"> </v>
      </c>
      <c r="AG67" s="303" t="str">
        <f t="shared" si="22"/>
        <v xml:space="preserve"> </v>
      </c>
      <c r="AH67" s="363" t="str">
        <f t="shared" si="23"/>
        <v xml:space="preserve">  </v>
      </c>
      <c r="AJ67" s="546">
        <f>RANK(AD67,($AD$8:$AD$12,$AD$14:$AD$15,$AD$18:$AD$36,$AD$40:$AD$51,$AD$54:$AD$62,$AD$65:$AD$69),0)</f>
        <v>47</v>
      </c>
    </row>
    <row r="68" spans="1:177" ht="15" customHeight="1" x14ac:dyDescent="0.2">
      <c r="A68" s="17" t="s">
        <v>134</v>
      </c>
      <c r="B68" s="133"/>
      <c r="C68" s="133"/>
      <c r="D68" s="133"/>
      <c r="E68" s="133"/>
      <c r="F68" s="133"/>
      <c r="G68" s="133"/>
      <c r="H68" s="22"/>
      <c r="I68" s="22"/>
      <c r="J68" s="133"/>
      <c r="K68" s="133"/>
      <c r="L68" s="133"/>
      <c r="M68" s="133"/>
      <c r="N68" s="22"/>
      <c r="O68" s="386"/>
      <c r="P68" s="386"/>
      <c r="Q68" s="454"/>
      <c r="R68" s="454">
        <v>0</v>
      </c>
      <c r="S68" s="504"/>
      <c r="T68" s="454">
        <v>0</v>
      </c>
      <c r="U68" s="397"/>
      <c r="V68" s="134"/>
      <c r="W68" s="134">
        <v>0</v>
      </c>
      <c r="X68" s="22">
        <v>0</v>
      </c>
      <c r="Y68" s="22">
        <v>0</v>
      </c>
      <c r="Z68" s="134">
        <v>0</v>
      </c>
      <c r="AA68" s="134">
        <v>1</v>
      </c>
      <c r="AB68" s="134">
        <v>0</v>
      </c>
      <c r="AC68" s="134">
        <v>5</v>
      </c>
      <c r="AD68" s="135">
        <v>7</v>
      </c>
      <c r="AE68" s="136">
        <f t="shared" si="20"/>
        <v>0.4</v>
      </c>
      <c r="AF68" s="302"/>
      <c r="AG68" s="303"/>
      <c r="AH68" s="211" t="str">
        <f t="shared" si="23"/>
        <v xml:space="preserve">  </v>
      </c>
      <c r="AJ68" s="546">
        <f>RANK(AD68,($AD$8:$AD$12,$AD$14:$AD$15,$AD$18:$AD$36,$AD$40:$AD$51,$AD$54:$AD$62,$AD$65:$AD$69),0)</f>
        <v>36</v>
      </c>
    </row>
    <row r="69" spans="1:177" ht="15" customHeight="1" x14ac:dyDescent="0.2">
      <c r="A69" s="1" t="s">
        <v>25</v>
      </c>
      <c r="B69" s="133">
        <v>38</v>
      </c>
      <c r="C69" s="133">
        <v>48</v>
      </c>
      <c r="D69" s="133">
        <v>68</v>
      </c>
      <c r="E69" s="133">
        <v>56</v>
      </c>
      <c r="F69" s="133">
        <v>52</v>
      </c>
      <c r="G69" s="133">
        <v>63</v>
      </c>
      <c r="H69" s="22">
        <v>62</v>
      </c>
      <c r="I69" s="22">
        <v>63</v>
      </c>
      <c r="J69" s="133">
        <v>37</v>
      </c>
      <c r="K69" s="133">
        <v>38</v>
      </c>
      <c r="L69" s="133">
        <v>34</v>
      </c>
      <c r="M69" s="133">
        <v>41</v>
      </c>
      <c r="N69" s="22">
        <v>43</v>
      </c>
      <c r="O69" s="386">
        <v>30</v>
      </c>
      <c r="P69" s="386">
        <v>28</v>
      </c>
      <c r="Q69" s="454">
        <v>37</v>
      </c>
      <c r="R69" s="454">
        <v>38</v>
      </c>
      <c r="S69" s="504">
        <v>29</v>
      </c>
      <c r="T69" s="454">
        <v>44</v>
      </c>
      <c r="U69" s="397">
        <v>40</v>
      </c>
      <c r="V69" s="134">
        <v>22</v>
      </c>
      <c r="W69" s="134">
        <v>21</v>
      </c>
      <c r="X69" s="22">
        <v>31</v>
      </c>
      <c r="Y69" s="22">
        <v>22</v>
      </c>
      <c r="Z69" s="134">
        <v>18</v>
      </c>
      <c r="AA69" s="134">
        <v>25</v>
      </c>
      <c r="AB69" s="134">
        <v>25</v>
      </c>
      <c r="AC69" s="134">
        <v>35</v>
      </c>
      <c r="AD69" s="135">
        <v>18</v>
      </c>
      <c r="AE69" s="136">
        <f t="shared" si="20"/>
        <v>-0.48571428571428571</v>
      </c>
      <c r="AF69" s="302">
        <f t="shared" si="21"/>
        <v>-0.18181818181818182</v>
      </c>
      <c r="AG69" s="303">
        <f t="shared" si="22"/>
        <v>-0.59090909090909094</v>
      </c>
      <c r="AH69" s="211">
        <f t="shared" si="23"/>
        <v>26</v>
      </c>
      <c r="AJ69" s="546">
        <f>RANK(AD69,($AD$8:$AD$12,$AD$14:$AD$15,$AD$18:$AD$36,$AD$40:$AD$51,$AD$54:$AD$62,$AD$65:$AD$69),0)</f>
        <v>24</v>
      </c>
    </row>
    <row r="70" spans="1:177" ht="15" hidden="1" customHeight="1" x14ac:dyDescent="0.2">
      <c r="A70" s="146" t="s">
        <v>48</v>
      </c>
      <c r="B70" s="133">
        <v>6</v>
      </c>
      <c r="C70" s="133">
        <v>4</v>
      </c>
      <c r="D70" s="133"/>
      <c r="E70" s="133"/>
      <c r="F70" s="133"/>
      <c r="G70" s="133"/>
      <c r="H70" s="22"/>
      <c r="I70" s="22">
        <v>0</v>
      </c>
      <c r="J70" s="133">
        <v>0</v>
      </c>
      <c r="K70" s="133">
        <v>0</v>
      </c>
      <c r="L70" s="133">
        <v>0</v>
      </c>
      <c r="M70" s="133">
        <v>0</v>
      </c>
      <c r="N70" s="22">
        <v>0</v>
      </c>
      <c r="O70" s="386"/>
      <c r="P70" s="386"/>
      <c r="Q70" s="454"/>
      <c r="R70" s="454"/>
      <c r="S70" s="504"/>
      <c r="T70" s="454"/>
      <c r="U70" s="397"/>
      <c r="V70" s="134"/>
      <c r="W70" s="134"/>
      <c r="X70" s="22"/>
      <c r="Y70" s="22"/>
      <c r="Z70" s="135"/>
      <c r="AA70" s="135"/>
      <c r="AB70" s="135"/>
      <c r="AC70" s="135"/>
      <c r="AD70" s="135"/>
      <c r="AE70" s="135" t="str">
        <f t="shared" si="20"/>
        <v xml:space="preserve"> </v>
      </c>
      <c r="AF70" s="136" t="str">
        <f t="shared" si="21"/>
        <v xml:space="preserve"> </v>
      </c>
      <c r="AG70" s="138" t="str">
        <f t="shared" si="22"/>
        <v xml:space="preserve"> </v>
      </c>
      <c r="AH70" s="137" t="str">
        <f t="shared" si="23"/>
        <v xml:space="preserve">  </v>
      </c>
    </row>
    <row r="71" spans="1:177" s="42" customFormat="1" ht="15" customHeight="1" thickBot="1" x14ac:dyDescent="0.25">
      <c r="A71" s="195" t="s">
        <v>94</v>
      </c>
      <c r="B71" s="198">
        <f t="shared" ref="B71:AD71" si="24">SUM(B65:B70)</f>
        <v>207</v>
      </c>
      <c r="C71" s="198">
        <f t="shared" si="24"/>
        <v>213</v>
      </c>
      <c r="D71" s="198">
        <f t="shared" si="24"/>
        <v>253</v>
      </c>
      <c r="E71" s="198">
        <f t="shared" si="24"/>
        <v>216</v>
      </c>
      <c r="F71" s="198">
        <f t="shared" si="24"/>
        <v>219</v>
      </c>
      <c r="G71" s="198">
        <f t="shared" si="24"/>
        <v>200</v>
      </c>
      <c r="H71" s="198">
        <f t="shared" si="24"/>
        <v>230</v>
      </c>
      <c r="I71" s="198">
        <f t="shared" si="24"/>
        <v>232</v>
      </c>
      <c r="J71" s="198">
        <f t="shared" si="24"/>
        <v>231</v>
      </c>
      <c r="K71" s="198">
        <f t="shared" si="24"/>
        <v>184</v>
      </c>
      <c r="L71" s="198">
        <f t="shared" si="24"/>
        <v>161</v>
      </c>
      <c r="M71" s="198">
        <f t="shared" si="24"/>
        <v>196</v>
      </c>
      <c r="N71" s="198">
        <f t="shared" si="24"/>
        <v>186</v>
      </c>
      <c r="O71" s="405">
        <f t="shared" si="24"/>
        <v>165</v>
      </c>
      <c r="P71" s="405">
        <f t="shared" si="24"/>
        <v>173</v>
      </c>
      <c r="Q71" s="466">
        <f t="shared" si="24"/>
        <v>170</v>
      </c>
      <c r="R71" s="466">
        <f t="shared" si="24"/>
        <v>198</v>
      </c>
      <c r="S71" s="466">
        <f t="shared" si="24"/>
        <v>203</v>
      </c>
      <c r="T71" s="466">
        <f t="shared" si="24"/>
        <v>239</v>
      </c>
      <c r="U71" s="290">
        <f t="shared" si="24"/>
        <v>250</v>
      </c>
      <c r="V71" s="198">
        <f t="shared" si="24"/>
        <v>192</v>
      </c>
      <c r="W71" s="198">
        <f>SUM(W65:W70)</f>
        <v>227</v>
      </c>
      <c r="X71" s="198">
        <f t="shared" si="24"/>
        <v>215</v>
      </c>
      <c r="Y71" s="198">
        <f t="shared" si="24"/>
        <v>152</v>
      </c>
      <c r="Z71" s="198">
        <f t="shared" si="24"/>
        <v>147</v>
      </c>
      <c r="AA71" s="198">
        <f t="shared" si="24"/>
        <v>151</v>
      </c>
      <c r="AB71" s="198">
        <f t="shared" si="24"/>
        <v>132</v>
      </c>
      <c r="AC71" s="198">
        <f t="shared" si="24"/>
        <v>165</v>
      </c>
      <c r="AD71" s="198">
        <f t="shared" si="24"/>
        <v>159</v>
      </c>
      <c r="AE71" s="327">
        <f t="shared" si="20"/>
        <v>-3.6363636363636362E-2</v>
      </c>
      <c r="AF71" s="327">
        <f t="shared" si="21"/>
        <v>4.6052631578947366E-2</v>
      </c>
      <c r="AG71" s="327">
        <f t="shared" si="22"/>
        <v>-0.33472803347280333</v>
      </c>
      <c r="AH71" s="198">
        <f t="shared" si="23"/>
        <v>152</v>
      </c>
      <c r="AI71" s="153"/>
      <c r="AJ71" s="546"/>
      <c r="AK71" s="155"/>
      <c r="AL71" s="155"/>
      <c r="AM71" s="155"/>
      <c r="AN71" s="155"/>
      <c r="AO71" s="155"/>
      <c r="AP71" s="155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</row>
    <row r="72" spans="1:177" ht="15" customHeight="1" thickTop="1" thickBot="1" x14ac:dyDescent="0.25">
      <c r="A72" s="196" t="s">
        <v>95</v>
      </c>
      <c r="B72" s="60">
        <f t="shared" ref="B72:AD72" si="25">+B71+B63+B52+B38+B16</f>
        <v>1091</v>
      </c>
      <c r="C72" s="60">
        <f t="shared" si="25"/>
        <v>1160</v>
      </c>
      <c r="D72" s="60">
        <f t="shared" si="25"/>
        <v>1201</v>
      </c>
      <c r="E72" s="60">
        <f t="shared" si="25"/>
        <v>1260</v>
      </c>
      <c r="F72" s="60">
        <f t="shared" si="25"/>
        <v>1169</v>
      </c>
      <c r="G72" s="60">
        <f t="shared" si="25"/>
        <v>1056</v>
      </c>
      <c r="H72" s="60">
        <f t="shared" si="25"/>
        <v>1285</v>
      </c>
      <c r="I72" s="60">
        <f t="shared" si="25"/>
        <v>1283</v>
      </c>
      <c r="J72" s="60">
        <f t="shared" si="25"/>
        <v>1364</v>
      </c>
      <c r="K72" s="60">
        <f t="shared" si="25"/>
        <v>1301</v>
      </c>
      <c r="L72" s="60">
        <f t="shared" si="25"/>
        <v>1313</v>
      </c>
      <c r="M72" s="60">
        <f t="shared" si="25"/>
        <v>1401</v>
      </c>
      <c r="N72" s="60">
        <f t="shared" si="25"/>
        <v>1439</v>
      </c>
      <c r="O72" s="406">
        <f t="shared" si="25"/>
        <v>1553</v>
      </c>
      <c r="P72" s="406">
        <f t="shared" si="25"/>
        <v>1608</v>
      </c>
      <c r="Q72" s="467">
        <f t="shared" si="25"/>
        <v>1661</v>
      </c>
      <c r="R72" s="467">
        <f>+R71+R63+R52+R38+R16</f>
        <v>1709</v>
      </c>
      <c r="S72" s="467">
        <f t="shared" si="25"/>
        <v>1787</v>
      </c>
      <c r="T72" s="467">
        <f t="shared" si="25"/>
        <v>1872</v>
      </c>
      <c r="U72" s="291">
        <f t="shared" si="25"/>
        <v>1899</v>
      </c>
      <c r="V72" s="60">
        <f t="shared" si="25"/>
        <v>1935</v>
      </c>
      <c r="W72" s="60">
        <f t="shared" si="25"/>
        <v>1967</v>
      </c>
      <c r="X72" s="60">
        <f t="shared" si="25"/>
        <v>2026</v>
      </c>
      <c r="Y72" s="60">
        <f t="shared" si="25"/>
        <v>1872</v>
      </c>
      <c r="Z72" s="60">
        <f t="shared" si="25"/>
        <v>1805</v>
      </c>
      <c r="AA72" s="60">
        <f t="shared" si="25"/>
        <v>1907</v>
      </c>
      <c r="AB72" s="60">
        <f t="shared" si="25"/>
        <v>1842</v>
      </c>
      <c r="AC72" s="60">
        <f t="shared" si="25"/>
        <v>1664</v>
      </c>
      <c r="AD72" s="60">
        <f t="shared" si="25"/>
        <v>1605</v>
      </c>
      <c r="AE72" s="199">
        <f t="shared" si="20"/>
        <v>-3.5456730769230768E-2</v>
      </c>
      <c r="AF72" s="199">
        <f t="shared" si="21"/>
        <v>-0.14262820512820512</v>
      </c>
      <c r="AG72" s="200">
        <f t="shared" si="22"/>
        <v>-0.14262820512820512</v>
      </c>
      <c r="AH72" s="328">
        <f t="shared" si="23"/>
        <v>1703.6666666666667</v>
      </c>
      <c r="AI72" s="154"/>
      <c r="AK72" s="159"/>
      <c r="AL72" s="159"/>
      <c r="AM72" s="159"/>
      <c r="AN72" s="159"/>
      <c r="AO72" s="159"/>
      <c r="AP72" s="1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59"/>
      <c r="FI72" s="59"/>
      <c r="FJ72" s="59"/>
      <c r="FK72" s="59"/>
      <c r="FL72" s="59"/>
    </row>
    <row r="73" spans="1:177" ht="15" customHeight="1" thickTop="1" x14ac:dyDescent="0.2">
      <c r="A73" s="61"/>
      <c r="B73" s="62"/>
      <c r="C73" s="62"/>
      <c r="D73" s="63"/>
      <c r="E73" s="63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286"/>
      <c r="Z73" s="286"/>
      <c r="AA73" s="286"/>
      <c r="AB73" s="286"/>
      <c r="AC73" s="286"/>
      <c r="AD73" s="286"/>
      <c r="AE73" s="286"/>
      <c r="AF73" s="64"/>
      <c r="AG73" s="62"/>
      <c r="AH73" s="65"/>
      <c r="AI73" s="154"/>
      <c r="AK73" s="159"/>
      <c r="AL73" s="159"/>
      <c r="AM73" s="159"/>
      <c r="AN73" s="159"/>
      <c r="AO73" s="159"/>
      <c r="AP73" s="1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</row>
    <row r="74" spans="1:177" ht="15" customHeight="1" x14ac:dyDescent="0.2">
      <c r="A74" s="574" t="s">
        <v>160</v>
      </c>
      <c r="B74" s="574"/>
      <c r="C74" s="574"/>
      <c r="D74" s="574"/>
      <c r="E74" s="574"/>
      <c r="F74" s="574"/>
      <c r="G74" s="574"/>
      <c r="H74" s="574"/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4"/>
      <c r="T74" s="574"/>
      <c r="U74" s="574"/>
      <c r="V74" s="574"/>
      <c r="W74" s="574"/>
      <c r="X74" s="574"/>
      <c r="Y74" s="574"/>
      <c r="Z74" s="574"/>
      <c r="AA74" s="574"/>
      <c r="AB74" s="574"/>
      <c r="AC74" s="574"/>
      <c r="AD74" s="574"/>
      <c r="AE74" s="574"/>
      <c r="AF74" s="574"/>
      <c r="AG74" s="574"/>
      <c r="AH74" s="574"/>
    </row>
    <row r="75" spans="1:177" ht="15" customHeight="1" x14ac:dyDescent="0.25">
      <c r="A75" s="66"/>
      <c r="B75" s="66"/>
      <c r="C75" s="66"/>
      <c r="D75" s="67"/>
      <c r="E75" s="67"/>
      <c r="F75" s="68"/>
      <c r="G75" s="67"/>
      <c r="H75" s="69"/>
      <c r="I75" s="69"/>
      <c r="J75" s="69"/>
      <c r="K75" s="69"/>
      <c r="L75" s="70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7"/>
      <c r="Z75" s="67"/>
      <c r="AA75" s="67"/>
      <c r="AB75" s="67"/>
      <c r="AC75" s="67"/>
      <c r="AD75" s="67"/>
      <c r="AE75" s="67"/>
      <c r="AF75" s="71"/>
      <c r="AG75" s="72"/>
      <c r="AH75" s="73"/>
      <c r="AI75" s="154"/>
      <c r="AK75" s="159"/>
      <c r="AL75" s="159"/>
      <c r="AM75" s="159"/>
      <c r="AN75" s="159"/>
      <c r="AO75" s="159"/>
      <c r="AP75" s="1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</row>
    <row r="76" spans="1:177" ht="15" customHeight="1" x14ac:dyDescent="0.2">
      <c r="A76" s="575" t="s">
        <v>79</v>
      </c>
      <c r="B76" s="103"/>
      <c r="C76" s="126"/>
      <c r="D76" s="126"/>
      <c r="E76" s="103"/>
      <c r="F76" s="103"/>
      <c r="G76" s="126"/>
      <c r="H76" s="127"/>
      <c r="I76" s="127"/>
      <c r="J76" s="126"/>
      <c r="K76" s="128"/>
      <c r="L76" s="128"/>
      <c r="M76" s="128"/>
      <c r="N76" s="127"/>
      <c r="O76" s="383"/>
      <c r="P76" s="447"/>
      <c r="Q76" s="452"/>
      <c r="R76" s="452"/>
      <c r="S76" s="510"/>
      <c r="T76" s="452"/>
      <c r="U76" s="396"/>
      <c r="V76" s="131"/>
      <c r="W76" s="130"/>
      <c r="X76" s="129"/>
      <c r="Y76" s="129"/>
      <c r="Z76" s="130"/>
      <c r="AA76" s="130"/>
      <c r="AB76" s="131"/>
      <c r="AC76" s="130"/>
      <c r="AD76" s="132"/>
      <c r="AE76" s="586" t="s">
        <v>117</v>
      </c>
      <c r="AF76" s="588" t="s">
        <v>118</v>
      </c>
      <c r="AG76" s="586" t="s">
        <v>119</v>
      </c>
      <c r="AH76" s="361" t="s">
        <v>0</v>
      </c>
      <c r="AI76" s="154"/>
      <c r="AK76" s="159"/>
      <c r="AL76" s="159"/>
      <c r="AM76" s="159"/>
      <c r="AN76" s="159"/>
      <c r="AO76" s="159"/>
      <c r="AP76" s="1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  <c r="FT76" s="59"/>
      <c r="FU76" s="59"/>
    </row>
    <row r="77" spans="1:177" ht="15" customHeight="1" thickBot="1" x14ac:dyDescent="0.25">
      <c r="A77" s="576"/>
      <c r="B77" s="104" t="s">
        <v>97</v>
      </c>
      <c r="C77" s="105" t="s">
        <v>41</v>
      </c>
      <c r="D77" s="104" t="s">
        <v>51</v>
      </c>
      <c r="E77" s="105" t="s">
        <v>52</v>
      </c>
      <c r="F77" s="105" t="s">
        <v>53</v>
      </c>
      <c r="G77" s="104" t="s">
        <v>54</v>
      </c>
      <c r="H77" s="106" t="s">
        <v>55</v>
      </c>
      <c r="I77" s="107" t="s">
        <v>43</v>
      </c>
      <c r="J77" s="108" t="s">
        <v>44</v>
      </c>
      <c r="K77" s="108" t="s">
        <v>45</v>
      </c>
      <c r="L77" s="108" t="s">
        <v>46</v>
      </c>
      <c r="M77" s="108" t="s">
        <v>42</v>
      </c>
      <c r="N77" s="107" t="s">
        <v>56</v>
      </c>
      <c r="O77" s="384" t="s">
        <v>57</v>
      </c>
      <c r="P77" s="384" t="s">
        <v>60</v>
      </c>
      <c r="Q77" s="453" t="s">
        <v>63</v>
      </c>
      <c r="R77" s="453" t="s">
        <v>67</v>
      </c>
      <c r="S77" s="511" t="s">
        <v>68</v>
      </c>
      <c r="T77" s="543" t="s">
        <v>71</v>
      </c>
      <c r="U77" s="500" t="s">
        <v>72</v>
      </c>
      <c r="V77" s="24" t="s">
        <v>73</v>
      </c>
      <c r="W77" s="24" t="s">
        <v>74</v>
      </c>
      <c r="X77" s="109" t="s">
        <v>76</v>
      </c>
      <c r="Y77" s="109" t="s">
        <v>78</v>
      </c>
      <c r="Z77" s="24" t="s">
        <v>127</v>
      </c>
      <c r="AA77" s="24" t="s">
        <v>133</v>
      </c>
      <c r="AB77" s="24" t="s">
        <v>136</v>
      </c>
      <c r="AC77" s="24" t="s">
        <v>143</v>
      </c>
      <c r="AD77" s="110" t="s">
        <v>156</v>
      </c>
      <c r="AE77" s="587"/>
      <c r="AF77" s="589"/>
      <c r="AG77" s="587"/>
      <c r="AH77" s="362" t="s">
        <v>37</v>
      </c>
      <c r="AI77" s="154"/>
      <c r="AK77" s="159"/>
      <c r="AL77" s="159"/>
      <c r="AM77" s="159"/>
      <c r="AN77" s="159"/>
      <c r="AO77" s="159"/>
      <c r="AP77" s="1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</row>
    <row r="78" spans="1:177" ht="15" customHeight="1" thickTop="1" x14ac:dyDescent="0.2">
      <c r="A78" s="74" t="s">
        <v>96</v>
      </c>
      <c r="B78" s="75"/>
      <c r="C78" s="75"/>
      <c r="D78" s="76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8"/>
      <c r="AA78" s="78"/>
      <c r="AB78" s="78"/>
      <c r="AC78" s="78"/>
      <c r="AD78" s="78"/>
      <c r="AE78" s="78"/>
      <c r="AF78" s="78"/>
      <c r="AG78" s="77"/>
      <c r="AH78" s="79"/>
      <c r="AI78" s="154"/>
      <c r="AK78" s="159"/>
      <c r="AL78" s="159"/>
      <c r="AM78" s="159"/>
      <c r="AN78" s="159"/>
      <c r="AO78" s="159"/>
      <c r="AP78" s="1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/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9"/>
      <c r="FS78" s="59"/>
      <c r="FT78" s="59"/>
      <c r="FU78" s="59"/>
    </row>
    <row r="79" spans="1:177" ht="15" customHeight="1" x14ac:dyDescent="0.2">
      <c r="A79" s="544" t="s">
        <v>81</v>
      </c>
      <c r="B79" s="81"/>
      <c r="C79" s="81"/>
      <c r="D79" s="82"/>
      <c r="E79" s="82"/>
      <c r="F79" s="81"/>
      <c r="G79" s="83"/>
      <c r="H79" s="83"/>
      <c r="I79" s="83"/>
      <c r="J79" s="81"/>
      <c r="K79" s="81"/>
      <c r="L79" s="81"/>
      <c r="M79" s="81"/>
      <c r="N79" s="81"/>
      <c r="O79" s="81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5"/>
      <c r="AA79" s="85"/>
      <c r="AB79" s="85"/>
      <c r="AC79" s="85"/>
      <c r="AD79" s="85"/>
      <c r="AE79" s="85"/>
      <c r="AF79" s="85"/>
      <c r="AG79" s="86"/>
      <c r="AH79" s="87"/>
      <c r="AI79" s="154"/>
      <c r="AK79" s="159"/>
      <c r="AL79" s="159"/>
      <c r="AM79" s="159"/>
      <c r="AN79" s="159"/>
      <c r="AO79" s="159"/>
      <c r="AP79" s="1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</row>
    <row r="80" spans="1:177" ht="15" customHeight="1" x14ac:dyDescent="0.2">
      <c r="A80" s="30" t="s">
        <v>82</v>
      </c>
      <c r="B80" s="88"/>
      <c r="C80" s="88"/>
      <c r="D80" s="89"/>
      <c r="E80" s="89"/>
      <c r="F80" s="88"/>
      <c r="G80" s="90"/>
      <c r="H80" s="90"/>
      <c r="I80" s="90"/>
      <c r="J80" s="88"/>
      <c r="K80" s="88"/>
      <c r="L80" s="88"/>
      <c r="M80" s="88"/>
      <c r="N80" s="88"/>
      <c r="O80" s="88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2"/>
      <c r="AA80" s="92"/>
      <c r="AB80" s="92"/>
      <c r="AC80" s="92"/>
      <c r="AD80" s="92"/>
      <c r="AE80" s="92"/>
      <c r="AF80" s="92"/>
      <c r="AG80" s="93"/>
      <c r="AH80" s="94"/>
      <c r="AI80" s="154"/>
      <c r="AK80" s="159"/>
      <c r="AL80" s="159"/>
      <c r="AM80" s="159"/>
      <c r="AN80" s="159"/>
      <c r="AO80" s="159"/>
      <c r="AP80" s="1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</row>
    <row r="81" spans="1:177" ht="15" customHeight="1" x14ac:dyDescent="0.2">
      <c r="A81" s="31" t="s">
        <v>138</v>
      </c>
      <c r="B81" s="133"/>
      <c r="C81" s="133"/>
      <c r="D81" s="133"/>
      <c r="E81" s="133"/>
      <c r="F81" s="133"/>
      <c r="G81" s="206"/>
      <c r="H81" s="22"/>
      <c r="I81" s="22">
        <v>7</v>
      </c>
      <c r="J81" s="207">
        <v>5</v>
      </c>
      <c r="K81" s="207">
        <v>9</v>
      </c>
      <c r="L81" s="161">
        <v>4</v>
      </c>
      <c r="M81" s="207">
        <v>12</v>
      </c>
      <c r="N81" s="22">
        <v>8</v>
      </c>
      <c r="O81" s="385">
        <v>11</v>
      </c>
      <c r="P81" s="385">
        <v>7</v>
      </c>
      <c r="Q81" s="468">
        <v>20</v>
      </c>
      <c r="R81" s="468">
        <v>22</v>
      </c>
      <c r="S81" s="512">
        <v>14</v>
      </c>
      <c r="T81" s="468">
        <v>25</v>
      </c>
      <c r="U81" s="540">
        <v>24</v>
      </c>
      <c r="V81" s="160">
        <v>18</v>
      </c>
      <c r="W81" s="160">
        <v>27</v>
      </c>
      <c r="X81" s="177">
        <v>20</v>
      </c>
      <c r="Y81" s="177">
        <v>4</v>
      </c>
      <c r="Z81" s="160">
        <v>16</v>
      </c>
      <c r="AA81" s="160">
        <v>12</v>
      </c>
      <c r="AB81" s="160">
        <v>13</v>
      </c>
      <c r="AC81" s="160">
        <v>13</v>
      </c>
      <c r="AD81" s="208">
        <v>11</v>
      </c>
      <c r="AE81" s="187" t="str">
        <f t="shared" ref="AE81:AE83" si="26">IF(AD81=0," ",IF(AH81&gt;20,(AD81-AC81)/AC81," "))</f>
        <v xml:space="preserve"> </v>
      </c>
      <c r="AF81" s="306" t="str">
        <f t="shared" ref="AF81:AF83" si="27">IF(AD81=0," ",IF(AH81&gt;20,(AD81-Y81)/Y81," "))</f>
        <v xml:space="preserve"> </v>
      </c>
      <c r="AG81" s="307" t="str">
        <f t="shared" ref="AG81:AG83" si="28">IF(AD81=0," ",(IF(AH81&gt;20,(AD81-T81)/T81," ")))</f>
        <v xml:space="preserve"> </v>
      </c>
      <c r="AH81" s="363">
        <f t="shared" ref="AH81:AH83" si="29">IF(AB81&gt;0,AVERAGE(AB81:AD81),"  ")</f>
        <v>12.333333333333334</v>
      </c>
      <c r="AI81" s="154"/>
      <c r="AK81" s="159"/>
      <c r="AL81" s="159"/>
      <c r="AM81" s="159"/>
      <c r="AN81" s="159"/>
      <c r="AO81" s="159"/>
      <c r="AP81" s="1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  <c r="FL81" s="59"/>
      <c r="FM81" s="59"/>
    </row>
    <row r="82" spans="1:177" ht="15" customHeight="1" x14ac:dyDescent="0.2">
      <c r="A82" s="31" t="s">
        <v>98</v>
      </c>
      <c r="B82" s="133"/>
      <c r="C82" s="133"/>
      <c r="D82" s="133"/>
      <c r="E82" s="133"/>
      <c r="F82" s="133"/>
      <c r="G82" s="206"/>
      <c r="H82" s="22"/>
      <c r="I82" s="22"/>
      <c r="J82" s="207"/>
      <c r="K82" s="207"/>
      <c r="L82" s="207"/>
      <c r="M82" s="207"/>
      <c r="N82" s="22"/>
      <c r="O82" s="386"/>
      <c r="P82" s="386"/>
      <c r="Q82" s="469"/>
      <c r="R82" s="469">
        <v>0</v>
      </c>
      <c r="S82" s="504"/>
      <c r="T82" s="469"/>
      <c r="U82" s="164"/>
      <c r="V82" s="161"/>
      <c r="W82" s="161"/>
      <c r="X82" s="22"/>
      <c r="Y82" s="22">
        <v>3</v>
      </c>
      <c r="Z82" s="161">
        <v>3</v>
      </c>
      <c r="AA82" s="161">
        <v>9</v>
      </c>
      <c r="AB82" s="161">
        <v>2</v>
      </c>
      <c r="AC82" s="161">
        <v>6</v>
      </c>
      <c r="AD82" s="444">
        <v>0</v>
      </c>
      <c r="AE82" s="136" t="str">
        <f t="shared" si="26"/>
        <v xml:space="preserve"> </v>
      </c>
      <c r="AF82" s="302" t="str">
        <f t="shared" si="27"/>
        <v xml:space="preserve"> </v>
      </c>
      <c r="AG82" s="303" t="str">
        <f t="shared" si="28"/>
        <v xml:space="preserve"> </v>
      </c>
      <c r="AH82" s="211">
        <f t="shared" si="29"/>
        <v>2.6666666666666665</v>
      </c>
      <c r="AI82" s="154"/>
      <c r="AK82" s="159"/>
      <c r="AL82" s="159"/>
      <c r="AM82" s="159"/>
      <c r="AN82" s="159"/>
      <c r="AO82" s="159"/>
      <c r="AP82" s="1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</row>
    <row r="83" spans="1:177" ht="15" customHeight="1" x14ac:dyDescent="0.2">
      <c r="A83" s="215" t="s">
        <v>83</v>
      </c>
      <c r="B83" s="216">
        <f>+B82+B81</f>
        <v>0</v>
      </c>
      <c r="C83" s="216">
        <f t="shared" ref="C83:AD83" si="30">+C82+C81</f>
        <v>0</v>
      </c>
      <c r="D83" s="216">
        <f t="shared" si="30"/>
        <v>0</v>
      </c>
      <c r="E83" s="216">
        <f t="shared" si="30"/>
        <v>0</v>
      </c>
      <c r="F83" s="216">
        <f t="shared" si="30"/>
        <v>0</v>
      </c>
      <c r="G83" s="216">
        <f t="shared" si="30"/>
        <v>0</v>
      </c>
      <c r="H83" s="216">
        <f t="shared" si="30"/>
        <v>0</v>
      </c>
      <c r="I83" s="216">
        <f t="shared" si="30"/>
        <v>7</v>
      </c>
      <c r="J83" s="216">
        <f t="shared" si="30"/>
        <v>5</v>
      </c>
      <c r="K83" s="216">
        <f t="shared" si="30"/>
        <v>9</v>
      </c>
      <c r="L83" s="216">
        <f t="shared" si="30"/>
        <v>4</v>
      </c>
      <c r="M83" s="216">
        <f t="shared" si="30"/>
        <v>12</v>
      </c>
      <c r="N83" s="216">
        <f t="shared" si="30"/>
        <v>8</v>
      </c>
      <c r="O83" s="410">
        <f t="shared" si="30"/>
        <v>11</v>
      </c>
      <c r="P83" s="410">
        <f t="shared" si="30"/>
        <v>7</v>
      </c>
      <c r="Q83" s="470">
        <f t="shared" si="30"/>
        <v>20</v>
      </c>
      <c r="R83" s="470">
        <f t="shared" si="30"/>
        <v>22</v>
      </c>
      <c r="S83" s="470">
        <f t="shared" si="30"/>
        <v>14</v>
      </c>
      <c r="T83" s="470">
        <f t="shared" si="30"/>
        <v>25</v>
      </c>
      <c r="U83" s="292">
        <f t="shared" si="30"/>
        <v>24</v>
      </c>
      <c r="V83" s="216">
        <f t="shared" si="30"/>
        <v>18</v>
      </c>
      <c r="W83" s="216">
        <f t="shared" si="30"/>
        <v>27</v>
      </c>
      <c r="X83" s="216">
        <f t="shared" si="30"/>
        <v>20</v>
      </c>
      <c r="Y83" s="216">
        <f t="shared" si="30"/>
        <v>7</v>
      </c>
      <c r="Z83" s="216">
        <f t="shared" si="30"/>
        <v>19</v>
      </c>
      <c r="AA83" s="216">
        <f t="shared" si="30"/>
        <v>21</v>
      </c>
      <c r="AB83" s="216">
        <f t="shared" si="30"/>
        <v>15</v>
      </c>
      <c r="AC83" s="216">
        <f t="shared" si="30"/>
        <v>19</v>
      </c>
      <c r="AD83" s="238">
        <f t="shared" si="30"/>
        <v>11</v>
      </c>
      <c r="AE83" s="445" t="str">
        <f t="shared" si="26"/>
        <v xml:space="preserve"> </v>
      </c>
      <c r="AF83" s="445" t="str">
        <f t="shared" si="27"/>
        <v xml:space="preserve"> </v>
      </c>
      <c r="AG83" s="446" t="str">
        <f t="shared" si="28"/>
        <v xml:space="preserve"> </v>
      </c>
      <c r="AH83" s="216">
        <f t="shared" si="29"/>
        <v>15</v>
      </c>
      <c r="AI83" s="154"/>
      <c r="AK83" s="159"/>
      <c r="AL83" s="159"/>
      <c r="AM83" s="159"/>
      <c r="AN83" s="159"/>
      <c r="AO83" s="159"/>
      <c r="AP83" s="1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  <c r="FL83" s="59"/>
      <c r="FM83" s="59"/>
    </row>
    <row r="84" spans="1:177" ht="15" customHeight="1" x14ac:dyDescent="0.2">
      <c r="A84" s="583" t="s">
        <v>84</v>
      </c>
      <c r="B84" s="584"/>
      <c r="C84" s="584"/>
      <c r="D84" s="584"/>
      <c r="E84" s="584"/>
      <c r="F84" s="584"/>
      <c r="G84" s="584"/>
      <c r="H84" s="584"/>
      <c r="I84" s="584"/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5"/>
      <c r="AI84" s="154"/>
      <c r="AK84" s="159"/>
      <c r="AL84" s="159"/>
      <c r="AM84" s="159"/>
      <c r="AN84" s="159"/>
      <c r="AO84" s="159"/>
      <c r="AP84" s="1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59"/>
      <c r="FG84" s="59"/>
      <c r="FH84" s="59"/>
      <c r="FI84" s="59"/>
      <c r="FJ84" s="59"/>
      <c r="FK84" s="59"/>
      <c r="FL84" s="59"/>
      <c r="FM84" s="59"/>
    </row>
    <row r="85" spans="1:177" s="101" customFormat="1" ht="15" customHeight="1" x14ac:dyDescent="0.2">
      <c r="A85" s="100" t="s">
        <v>110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80"/>
      <c r="N85" s="380"/>
      <c r="O85" s="408"/>
      <c r="P85" s="448"/>
      <c r="Q85" s="471"/>
      <c r="R85" s="471">
        <v>0</v>
      </c>
      <c r="S85" s="471"/>
      <c r="T85" s="471"/>
      <c r="U85" s="381">
        <v>5</v>
      </c>
      <c r="V85" s="380">
        <v>0</v>
      </c>
      <c r="W85" s="380">
        <v>0</v>
      </c>
      <c r="X85" s="382">
        <v>0</v>
      </c>
      <c r="Y85" s="382">
        <v>7</v>
      </c>
      <c r="Z85" s="380">
        <v>0</v>
      </c>
      <c r="AA85" s="380">
        <v>0</v>
      </c>
      <c r="AB85" s="380">
        <v>0</v>
      </c>
      <c r="AC85" s="380">
        <v>0</v>
      </c>
      <c r="AD85" s="375">
        <v>0</v>
      </c>
      <c r="AE85" s="136" t="str">
        <f t="shared" ref="AE85:AE90" si="31">IF(AD85=0," ",IF(AH85&gt;20,(AD85-AC85)/AC85," "))</f>
        <v xml:space="preserve"> </v>
      </c>
      <c r="AF85" s="302" t="str">
        <f t="shared" ref="AF85:AF90" si="32">IF(AD85=0," ",IF(AH85&gt;20,(AD85-Y85)/Y85," "))</f>
        <v xml:space="preserve"> </v>
      </c>
      <c r="AG85" s="303" t="str">
        <f t="shared" ref="AG85:AG90" si="33">IF(AD85=0," ",(IF(AH85&gt;20,(AD85-T85)/T85," ")))</f>
        <v xml:space="preserve"> </v>
      </c>
      <c r="AH85" s="211" t="str">
        <f t="shared" ref="AH85:AH90" si="34">IF(AB85&gt;0,AVERAGE(AB85:AD85),"  ")</f>
        <v xml:space="preserve">  </v>
      </c>
      <c r="AI85" s="162"/>
      <c r="AJ85" s="546"/>
      <c r="AK85" s="162"/>
      <c r="AL85" s="162"/>
      <c r="AM85" s="162"/>
      <c r="AN85" s="162"/>
      <c r="AO85" s="162"/>
      <c r="AP85" s="162"/>
    </row>
    <row r="86" spans="1:177" ht="15" customHeight="1" x14ac:dyDescent="0.2">
      <c r="A86" s="31" t="s">
        <v>99</v>
      </c>
      <c r="B86" s="133">
        <v>10</v>
      </c>
      <c r="C86" s="209">
        <v>5</v>
      </c>
      <c r="D86" s="133">
        <v>10</v>
      </c>
      <c r="E86" s="133">
        <v>7</v>
      </c>
      <c r="F86" s="133">
        <v>11</v>
      </c>
      <c r="G86" s="133">
        <v>13</v>
      </c>
      <c r="H86" s="22">
        <v>8</v>
      </c>
      <c r="I86" s="22">
        <v>5</v>
      </c>
      <c r="J86" s="134">
        <v>6</v>
      </c>
      <c r="K86" s="133">
        <f>1+5</f>
        <v>6</v>
      </c>
      <c r="L86" s="133">
        <v>7</v>
      </c>
      <c r="M86" s="133">
        <v>7</v>
      </c>
      <c r="N86" s="22">
        <v>2</v>
      </c>
      <c r="O86" s="386">
        <v>8</v>
      </c>
      <c r="P86" s="386">
        <v>4</v>
      </c>
      <c r="Q86" s="454">
        <v>4</v>
      </c>
      <c r="R86" s="454">
        <v>14</v>
      </c>
      <c r="S86" s="504">
        <v>8</v>
      </c>
      <c r="T86" s="454">
        <v>17</v>
      </c>
      <c r="U86" s="397">
        <v>6</v>
      </c>
      <c r="V86" s="134">
        <v>6</v>
      </c>
      <c r="W86" s="134">
        <v>3</v>
      </c>
      <c r="X86" s="22">
        <v>1</v>
      </c>
      <c r="Y86" s="22">
        <v>2</v>
      </c>
      <c r="Z86" s="134">
        <v>0</v>
      </c>
      <c r="AA86" s="134">
        <v>0</v>
      </c>
      <c r="AB86" s="134">
        <v>1</v>
      </c>
      <c r="AC86" s="134">
        <v>0</v>
      </c>
      <c r="AD86" s="135">
        <v>2</v>
      </c>
      <c r="AE86" s="136" t="str">
        <f t="shared" si="31"/>
        <v xml:space="preserve"> </v>
      </c>
      <c r="AF86" s="302" t="str">
        <f t="shared" si="32"/>
        <v xml:space="preserve"> </v>
      </c>
      <c r="AG86" s="303" t="str">
        <f t="shared" si="33"/>
        <v xml:space="preserve"> </v>
      </c>
      <c r="AH86" s="211">
        <f t="shared" si="34"/>
        <v>1</v>
      </c>
      <c r="AI86" s="154"/>
      <c r="AK86" s="159"/>
      <c r="AL86" s="159"/>
      <c r="AM86" s="159"/>
      <c r="AN86" s="159"/>
      <c r="AO86" s="159"/>
      <c r="AP86" s="1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</row>
    <row r="87" spans="1:177" ht="15" customHeight="1" x14ac:dyDescent="0.2">
      <c r="A87" s="31" t="s">
        <v>100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161"/>
      <c r="N87" s="161"/>
      <c r="O87" s="409"/>
      <c r="P87" s="409"/>
      <c r="Q87" s="469"/>
      <c r="R87" s="469">
        <v>0</v>
      </c>
      <c r="S87" s="469"/>
      <c r="T87" s="469"/>
      <c r="U87" s="164"/>
      <c r="V87" s="161">
        <v>8</v>
      </c>
      <c r="W87" s="161">
        <v>0</v>
      </c>
      <c r="X87" s="22">
        <v>1</v>
      </c>
      <c r="Y87" s="22">
        <v>7</v>
      </c>
      <c r="Z87" s="161">
        <v>7</v>
      </c>
      <c r="AA87" s="161">
        <v>9</v>
      </c>
      <c r="AB87" s="161">
        <v>5</v>
      </c>
      <c r="AC87" s="161">
        <v>14</v>
      </c>
      <c r="AD87" s="213">
        <v>8</v>
      </c>
      <c r="AE87" s="346" t="str">
        <f t="shared" si="31"/>
        <v xml:space="preserve"> </v>
      </c>
      <c r="AF87" s="347" t="str">
        <f t="shared" si="32"/>
        <v xml:space="preserve"> </v>
      </c>
      <c r="AG87" s="348" t="str">
        <f t="shared" si="33"/>
        <v xml:space="preserve"> </v>
      </c>
      <c r="AH87" s="364">
        <f t="shared" si="34"/>
        <v>9</v>
      </c>
      <c r="AI87" s="154"/>
      <c r="AK87" s="159"/>
      <c r="AL87" s="159"/>
      <c r="AM87" s="159"/>
      <c r="AN87" s="159"/>
      <c r="AO87" s="159"/>
      <c r="AP87" s="1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9"/>
      <c r="FF87" s="59"/>
      <c r="FG87" s="59"/>
      <c r="FH87" s="59"/>
      <c r="FI87" s="59"/>
      <c r="FJ87" s="59"/>
      <c r="FK87" s="59"/>
      <c r="FL87" s="59"/>
      <c r="FM87" s="59"/>
    </row>
    <row r="88" spans="1:177" ht="15" customHeight="1" x14ac:dyDescent="0.2">
      <c r="A88" s="215" t="s">
        <v>101</v>
      </c>
      <c r="B88" s="216">
        <f>+B87+B86+B85</f>
        <v>10</v>
      </c>
      <c r="C88" s="216">
        <f t="shared" ref="C88:AD88" si="35">+C87+C86+C85</f>
        <v>5</v>
      </c>
      <c r="D88" s="216">
        <f t="shared" si="35"/>
        <v>10</v>
      </c>
      <c r="E88" s="216">
        <f t="shared" si="35"/>
        <v>7</v>
      </c>
      <c r="F88" s="216">
        <f t="shared" si="35"/>
        <v>11</v>
      </c>
      <c r="G88" s="216">
        <f t="shared" si="35"/>
        <v>13</v>
      </c>
      <c r="H88" s="216">
        <f t="shared" si="35"/>
        <v>8</v>
      </c>
      <c r="I88" s="216">
        <f t="shared" si="35"/>
        <v>5</v>
      </c>
      <c r="J88" s="216">
        <f t="shared" si="35"/>
        <v>6</v>
      </c>
      <c r="K88" s="216">
        <f t="shared" si="35"/>
        <v>6</v>
      </c>
      <c r="L88" s="216">
        <f t="shared" si="35"/>
        <v>7</v>
      </c>
      <c r="M88" s="216">
        <f t="shared" si="35"/>
        <v>7</v>
      </c>
      <c r="N88" s="216">
        <f t="shared" si="35"/>
        <v>2</v>
      </c>
      <c r="O88" s="410">
        <f t="shared" si="35"/>
        <v>8</v>
      </c>
      <c r="P88" s="410">
        <f t="shared" si="35"/>
        <v>4</v>
      </c>
      <c r="Q88" s="470">
        <f t="shared" si="35"/>
        <v>4</v>
      </c>
      <c r="R88" s="470">
        <f t="shared" si="35"/>
        <v>14</v>
      </c>
      <c r="S88" s="470">
        <f t="shared" si="35"/>
        <v>8</v>
      </c>
      <c r="T88" s="470">
        <f t="shared" si="35"/>
        <v>17</v>
      </c>
      <c r="U88" s="292">
        <f t="shared" si="35"/>
        <v>11</v>
      </c>
      <c r="V88" s="216">
        <f t="shared" si="35"/>
        <v>14</v>
      </c>
      <c r="W88" s="216">
        <f t="shared" si="35"/>
        <v>3</v>
      </c>
      <c r="X88" s="216">
        <f t="shared" si="35"/>
        <v>2</v>
      </c>
      <c r="Y88" s="216">
        <f t="shared" si="35"/>
        <v>16</v>
      </c>
      <c r="Z88" s="216">
        <f t="shared" si="35"/>
        <v>7</v>
      </c>
      <c r="AA88" s="216">
        <f t="shared" si="35"/>
        <v>9</v>
      </c>
      <c r="AB88" s="216">
        <f t="shared" si="35"/>
        <v>6</v>
      </c>
      <c r="AC88" s="216">
        <f t="shared" si="35"/>
        <v>14</v>
      </c>
      <c r="AD88" s="238">
        <f t="shared" si="35"/>
        <v>10</v>
      </c>
      <c r="AE88" s="353" t="str">
        <f t="shared" si="31"/>
        <v xml:space="preserve"> </v>
      </c>
      <c r="AF88" s="353" t="str">
        <f t="shared" si="32"/>
        <v xml:space="preserve"> </v>
      </c>
      <c r="AG88" s="353" t="str">
        <f t="shared" si="33"/>
        <v xml:space="preserve"> </v>
      </c>
      <c r="AH88" s="238">
        <f t="shared" si="34"/>
        <v>10</v>
      </c>
      <c r="AI88" s="154"/>
      <c r="AK88" s="159"/>
      <c r="AL88" s="159"/>
      <c r="AM88" s="159"/>
      <c r="AN88" s="159"/>
      <c r="AO88" s="159"/>
      <c r="AP88" s="1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9"/>
      <c r="FF88" s="59"/>
      <c r="FG88" s="59"/>
      <c r="FH88" s="59"/>
      <c r="FI88" s="59"/>
      <c r="FJ88" s="59"/>
      <c r="FK88" s="59"/>
      <c r="FL88" s="59"/>
      <c r="FM88" s="59"/>
    </row>
    <row r="89" spans="1:177" ht="15" customHeight="1" x14ac:dyDescent="0.2">
      <c r="A89" s="163" t="s">
        <v>102</v>
      </c>
      <c r="B89" s="201">
        <v>0</v>
      </c>
      <c r="C89" s="201">
        <v>0</v>
      </c>
      <c r="D89" s="201">
        <v>4</v>
      </c>
      <c r="E89" s="201">
        <v>0</v>
      </c>
      <c r="F89" s="201">
        <v>0</v>
      </c>
      <c r="G89" s="201">
        <v>0</v>
      </c>
      <c r="H89" s="202">
        <v>0</v>
      </c>
      <c r="I89" s="202">
        <v>0</v>
      </c>
      <c r="J89" s="201">
        <v>19</v>
      </c>
      <c r="K89" s="201">
        <v>29</v>
      </c>
      <c r="L89" s="201">
        <v>31</v>
      </c>
      <c r="M89" s="201">
        <v>45</v>
      </c>
      <c r="N89" s="202">
        <v>27</v>
      </c>
      <c r="O89" s="389">
        <v>39</v>
      </c>
      <c r="P89" s="389">
        <v>46</v>
      </c>
      <c r="Q89" s="457">
        <v>62</v>
      </c>
      <c r="R89" s="457">
        <v>54</v>
      </c>
      <c r="S89" s="506">
        <v>72</v>
      </c>
      <c r="T89" s="457">
        <v>73</v>
      </c>
      <c r="U89" s="399">
        <v>79</v>
      </c>
      <c r="V89" s="201">
        <v>71</v>
      </c>
      <c r="W89" s="201">
        <v>119</v>
      </c>
      <c r="X89" s="202">
        <v>126</v>
      </c>
      <c r="Y89" s="202">
        <v>160</v>
      </c>
      <c r="Z89" s="201">
        <v>169</v>
      </c>
      <c r="AA89" s="201">
        <v>176</v>
      </c>
      <c r="AB89" s="201">
        <v>192</v>
      </c>
      <c r="AC89" s="201">
        <v>196</v>
      </c>
      <c r="AD89" s="262">
        <v>171</v>
      </c>
      <c r="AE89" s="354">
        <f t="shared" si="31"/>
        <v>-0.12755102040816327</v>
      </c>
      <c r="AF89" s="354">
        <f t="shared" si="32"/>
        <v>6.8750000000000006E-2</v>
      </c>
      <c r="AG89" s="354">
        <f t="shared" si="33"/>
        <v>1.3424657534246576</v>
      </c>
      <c r="AH89" s="262">
        <f t="shared" si="34"/>
        <v>186.33333333333334</v>
      </c>
      <c r="AI89" s="154"/>
      <c r="AK89" s="159"/>
      <c r="AL89" s="159"/>
      <c r="AM89" s="159"/>
      <c r="AN89" s="159"/>
      <c r="AO89" s="159"/>
      <c r="AP89" s="1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  <c r="FG89" s="59"/>
      <c r="FH89" s="59"/>
      <c r="FI89" s="59"/>
      <c r="FJ89" s="59"/>
      <c r="FK89" s="59"/>
      <c r="FL89" s="59"/>
      <c r="FM89" s="59"/>
    </row>
    <row r="90" spans="1:177" ht="15" customHeight="1" thickBot="1" x14ac:dyDescent="0.25">
      <c r="A90" s="214" t="s">
        <v>86</v>
      </c>
      <c r="B90" s="219">
        <f>+B89+B88+B83</f>
        <v>10</v>
      </c>
      <c r="C90" s="219">
        <f t="shared" ref="C90:AD90" si="36">+C89+C88+C83</f>
        <v>5</v>
      </c>
      <c r="D90" s="219">
        <f t="shared" si="36"/>
        <v>14</v>
      </c>
      <c r="E90" s="219">
        <f t="shared" si="36"/>
        <v>7</v>
      </c>
      <c r="F90" s="219">
        <f t="shared" si="36"/>
        <v>11</v>
      </c>
      <c r="G90" s="219">
        <f t="shared" si="36"/>
        <v>13</v>
      </c>
      <c r="H90" s="219">
        <f t="shared" si="36"/>
        <v>8</v>
      </c>
      <c r="I90" s="219">
        <f t="shared" si="36"/>
        <v>12</v>
      </c>
      <c r="J90" s="219">
        <f t="shared" si="36"/>
        <v>30</v>
      </c>
      <c r="K90" s="219">
        <f t="shared" si="36"/>
        <v>44</v>
      </c>
      <c r="L90" s="219">
        <f t="shared" si="36"/>
        <v>42</v>
      </c>
      <c r="M90" s="219">
        <f t="shared" si="36"/>
        <v>64</v>
      </c>
      <c r="N90" s="219">
        <f t="shared" si="36"/>
        <v>37</v>
      </c>
      <c r="O90" s="411">
        <f t="shared" si="36"/>
        <v>58</v>
      </c>
      <c r="P90" s="449">
        <f t="shared" si="36"/>
        <v>57</v>
      </c>
      <c r="Q90" s="472">
        <f t="shared" si="36"/>
        <v>86</v>
      </c>
      <c r="R90" s="472">
        <f t="shared" si="36"/>
        <v>90</v>
      </c>
      <c r="S90" s="472">
        <f t="shared" si="36"/>
        <v>94</v>
      </c>
      <c r="T90" s="472">
        <f t="shared" si="36"/>
        <v>115</v>
      </c>
      <c r="U90" s="293">
        <f t="shared" si="36"/>
        <v>114</v>
      </c>
      <c r="V90" s="219">
        <f t="shared" si="36"/>
        <v>103</v>
      </c>
      <c r="W90" s="219">
        <f t="shared" si="36"/>
        <v>149</v>
      </c>
      <c r="X90" s="219">
        <f t="shared" si="36"/>
        <v>148</v>
      </c>
      <c r="Y90" s="219">
        <f t="shared" si="36"/>
        <v>183</v>
      </c>
      <c r="Z90" s="219">
        <f t="shared" si="36"/>
        <v>195</v>
      </c>
      <c r="AA90" s="219">
        <f t="shared" si="36"/>
        <v>206</v>
      </c>
      <c r="AB90" s="219">
        <f t="shared" si="36"/>
        <v>213</v>
      </c>
      <c r="AC90" s="219">
        <f t="shared" si="36"/>
        <v>229</v>
      </c>
      <c r="AD90" s="219">
        <f t="shared" si="36"/>
        <v>192</v>
      </c>
      <c r="AE90" s="355">
        <f t="shared" si="31"/>
        <v>-0.16157205240174671</v>
      </c>
      <c r="AF90" s="355">
        <f t="shared" si="32"/>
        <v>4.9180327868852458E-2</v>
      </c>
      <c r="AG90" s="355">
        <f t="shared" si="33"/>
        <v>0.66956521739130437</v>
      </c>
      <c r="AH90" s="219">
        <f t="shared" si="34"/>
        <v>211.33333333333334</v>
      </c>
      <c r="AI90" s="154"/>
      <c r="AK90" s="159"/>
      <c r="AL90" s="159"/>
      <c r="AM90" s="159"/>
      <c r="AN90" s="159"/>
      <c r="AO90" s="159"/>
      <c r="AP90" s="1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  <c r="FG90" s="59"/>
      <c r="FH90" s="59"/>
      <c r="FI90" s="59"/>
      <c r="FJ90" s="59"/>
      <c r="FK90" s="59"/>
      <c r="FL90" s="59"/>
      <c r="FM90" s="59"/>
    </row>
    <row r="91" spans="1:177" ht="15" customHeight="1" thickTop="1" x14ac:dyDescent="0.2">
      <c r="A91" s="33" t="s">
        <v>87</v>
      </c>
      <c r="B91" s="34"/>
      <c r="C91" s="34"/>
      <c r="D91" s="34"/>
      <c r="E91" s="35"/>
      <c r="F91" s="35"/>
      <c r="G91" s="36"/>
      <c r="H91" s="36"/>
      <c r="I91" s="36"/>
      <c r="J91" s="36"/>
      <c r="K91" s="35"/>
      <c r="L91" s="35"/>
      <c r="M91" s="35"/>
      <c r="N91" s="35"/>
      <c r="O91" s="37"/>
      <c r="P91" s="37"/>
      <c r="Q91" s="37"/>
      <c r="R91" s="37"/>
      <c r="S91" s="37"/>
      <c r="T91" s="38"/>
      <c r="U91" s="38"/>
      <c r="V91" s="38"/>
      <c r="W91" s="38"/>
      <c r="X91" s="38"/>
      <c r="Y91" s="38"/>
      <c r="Z91" s="39"/>
      <c r="AA91" s="39"/>
      <c r="AB91" s="39"/>
      <c r="AC91" s="39"/>
      <c r="AD91" s="39"/>
      <c r="AE91" s="351"/>
      <c r="AF91" s="352"/>
      <c r="AG91" s="351"/>
      <c r="AH91" s="40"/>
      <c r="AI91" s="154"/>
      <c r="AK91" s="159"/>
      <c r="AL91" s="159"/>
      <c r="AM91" s="159"/>
      <c r="AN91" s="159"/>
      <c r="AO91" s="159"/>
      <c r="AP91" s="1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9"/>
      <c r="FS91" s="59"/>
      <c r="FT91" s="59"/>
      <c r="FU91" s="59"/>
    </row>
    <row r="92" spans="1:177" ht="15" customHeight="1" x14ac:dyDescent="0.2">
      <c r="A92" s="96" t="s">
        <v>142</v>
      </c>
      <c r="B92" s="267"/>
      <c r="C92" s="275"/>
      <c r="D92" s="275"/>
      <c r="E92" s="275"/>
      <c r="F92" s="275"/>
      <c r="G92" s="275"/>
      <c r="H92" s="276">
        <v>0</v>
      </c>
      <c r="I92" s="276"/>
      <c r="J92" s="277"/>
      <c r="K92" s="275"/>
      <c r="L92" s="275">
        <v>0</v>
      </c>
      <c r="M92" s="275"/>
      <c r="N92" s="276">
        <v>0</v>
      </c>
      <c r="O92" s="412">
        <v>0</v>
      </c>
      <c r="P92" s="450">
        <v>0</v>
      </c>
      <c r="Q92" s="473">
        <v>0</v>
      </c>
      <c r="R92" s="473">
        <v>15</v>
      </c>
      <c r="S92" s="513">
        <v>15</v>
      </c>
      <c r="T92" s="473">
        <v>12</v>
      </c>
      <c r="U92" s="541">
        <v>13</v>
      </c>
      <c r="V92" s="270">
        <v>19</v>
      </c>
      <c r="W92" s="269">
        <v>18</v>
      </c>
      <c r="X92" s="268">
        <v>18</v>
      </c>
      <c r="Y92" s="268">
        <v>18</v>
      </c>
      <c r="Z92" s="443">
        <v>19</v>
      </c>
      <c r="AA92" s="443">
        <v>10</v>
      </c>
      <c r="AB92" s="443">
        <v>21</v>
      </c>
      <c r="AC92" s="443">
        <v>10</v>
      </c>
      <c r="AD92" s="147">
        <v>6</v>
      </c>
      <c r="AE92" s="340" t="str">
        <f t="shared" ref="AE92:AE96" si="37">IF(AD92=0," ",IF(AH92&gt;20,(AD92-AC92)/AC92," "))</f>
        <v xml:space="preserve"> </v>
      </c>
      <c r="AF92" s="341" t="str">
        <f t="shared" ref="AF92:AF96" si="38">IF(AD92=0," ",IF(AH92&gt;20,(AD92-Y92)/Y92," "))</f>
        <v xml:space="preserve"> </v>
      </c>
      <c r="AG92" s="342" t="str">
        <f t="shared" ref="AG92:AG96" si="39">IF(AD92=0," ",(IF(AH92&gt;20,(AD92-T92)/T92," ")))</f>
        <v xml:space="preserve"> </v>
      </c>
      <c r="AH92" s="363">
        <f t="shared" ref="AH92:AH96" si="40">IF(AB92&gt;0,AVERAGE(AB92:AD92),"  ")</f>
        <v>12.333333333333334</v>
      </c>
      <c r="AI92" s="154"/>
      <c r="AK92" s="159"/>
      <c r="AL92" s="159"/>
      <c r="AM92" s="159"/>
      <c r="AN92" s="159"/>
      <c r="AO92" s="159"/>
      <c r="AP92" s="1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  <c r="FE92" s="59"/>
      <c r="FF92" s="59"/>
      <c r="FG92" s="59"/>
      <c r="FH92" s="59"/>
      <c r="FI92" s="59"/>
      <c r="FJ92" s="59"/>
      <c r="FK92" s="59"/>
      <c r="FL92" s="59"/>
      <c r="FM92" s="59"/>
    </row>
    <row r="93" spans="1:177" ht="15" customHeight="1" x14ac:dyDescent="0.2">
      <c r="A93" s="97" t="s">
        <v>103</v>
      </c>
      <c r="B93" s="271"/>
      <c r="C93" s="278"/>
      <c r="D93" s="278"/>
      <c r="E93" s="278"/>
      <c r="F93" s="278">
        <v>0</v>
      </c>
      <c r="G93" s="278">
        <v>0</v>
      </c>
      <c r="H93" s="278"/>
      <c r="I93" s="278"/>
      <c r="J93" s="278"/>
      <c r="K93" s="278">
        <v>0</v>
      </c>
      <c r="L93" s="278">
        <v>0</v>
      </c>
      <c r="M93" s="279">
        <v>0</v>
      </c>
      <c r="N93" s="279">
        <v>0</v>
      </c>
      <c r="O93" s="413">
        <v>0</v>
      </c>
      <c r="P93" s="272">
        <v>8</v>
      </c>
      <c r="Q93" s="474">
        <v>7</v>
      </c>
      <c r="R93" s="474">
        <f>5+3</f>
        <v>8</v>
      </c>
      <c r="S93" s="474">
        <f>6+2</f>
        <v>8</v>
      </c>
      <c r="T93" s="474">
        <v>16</v>
      </c>
      <c r="U93" s="542">
        <f>6+2</f>
        <v>8</v>
      </c>
      <c r="V93" s="273">
        <v>8</v>
      </c>
      <c r="W93" s="272">
        <v>1</v>
      </c>
      <c r="X93" s="268">
        <v>5</v>
      </c>
      <c r="Y93" s="268">
        <v>14</v>
      </c>
      <c r="Z93" s="409">
        <v>10</v>
      </c>
      <c r="AA93" s="409">
        <v>10</v>
      </c>
      <c r="AB93" s="409">
        <v>3</v>
      </c>
      <c r="AC93" s="409">
        <v>11</v>
      </c>
      <c r="AD93" s="165">
        <v>0</v>
      </c>
      <c r="AE93" s="343" t="str">
        <f t="shared" si="37"/>
        <v xml:space="preserve"> </v>
      </c>
      <c r="AF93" s="344" t="str">
        <f t="shared" si="38"/>
        <v xml:space="preserve"> </v>
      </c>
      <c r="AG93" s="345" t="str">
        <f t="shared" si="39"/>
        <v xml:space="preserve"> </v>
      </c>
      <c r="AH93" s="211">
        <f t="shared" si="40"/>
        <v>4.666666666666667</v>
      </c>
      <c r="AI93" s="154"/>
      <c r="AK93" s="159"/>
      <c r="AL93" s="159"/>
      <c r="AM93" s="159"/>
      <c r="AN93" s="159"/>
      <c r="AO93" s="159"/>
      <c r="AP93" s="1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  <c r="FL93" s="59"/>
      <c r="FM93" s="59"/>
    </row>
    <row r="94" spans="1:177" ht="15" customHeight="1" x14ac:dyDescent="0.2">
      <c r="A94" s="95" t="s">
        <v>104</v>
      </c>
      <c r="B94" s="267">
        <v>12</v>
      </c>
      <c r="C94" s="280">
        <v>7</v>
      </c>
      <c r="D94" s="280">
        <v>11</v>
      </c>
      <c r="E94" s="280">
        <v>13</v>
      </c>
      <c r="F94" s="280">
        <v>16</v>
      </c>
      <c r="G94" s="280">
        <v>15</v>
      </c>
      <c r="H94" s="281">
        <v>15</v>
      </c>
      <c r="I94" s="281">
        <v>23</v>
      </c>
      <c r="J94" s="282">
        <v>17</v>
      </c>
      <c r="K94" s="280">
        <v>22</v>
      </c>
      <c r="L94" s="280">
        <v>27</v>
      </c>
      <c r="M94" s="280">
        <v>20</v>
      </c>
      <c r="N94" s="281">
        <v>22</v>
      </c>
      <c r="O94" s="414">
        <v>22</v>
      </c>
      <c r="P94" s="268">
        <v>16</v>
      </c>
      <c r="Q94" s="473">
        <v>19</v>
      </c>
      <c r="R94" s="473">
        <v>18</v>
      </c>
      <c r="S94" s="513">
        <f>19+2</f>
        <v>21</v>
      </c>
      <c r="T94" s="473">
        <v>21</v>
      </c>
      <c r="U94" s="541">
        <f>19+1</f>
        <v>20</v>
      </c>
      <c r="V94" s="270">
        <v>25</v>
      </c>
      <c r="W94" s="269">
        <v>17</v>
      </c>
      <c r="X94" s="268">
        <v>26</v>
      </c>
      <c r="Y94" s="268">
        <v>22</v>
      </c>
      <c r="Z94" s="443">
        <v>14</v>
      </c>
      <c r="AA94" s="443">
        <v>18</v>
      </c>
      <c r="AB94" s="443">
        <v>18</v>
      </c>
      <c r="AC94" s="443">
        <v>25</v>
      </c>
      <c r="AD94" s="147">
        <v>7</v>
      </c>
      <c r="AE94" s="343" t="str">
        <f t="shared" si="37"/>
        <v xml:space="preserve"> </v>
      </c>
      <c r="AF94" s="344" t="str">
        <f t="shared" si="38"/>
        <v xml:space="preserve"> </v>
      </c>
      <c r="AG94" s="345" t="str">
        <f t="shared" si="39"/>
        <v xml:space="preserve"> </v>
      </c>
      <c r="AH94" s="211">
        <f t="shared" si="40"/>
        <v>16.666666666666668</v>
      </c>
      <c r="AI94" s="154"/>
      <c r="AK94" s="159"/>
      <c r="AL94" s="159"/>
      <c r="AM94" s="159"/>
      <c r="AN94" s="159"/>
      <c r="AO94" s="159"/>
      <c r="AP94" s="1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</row>
    <row r="95" spans="1:177" ht="15" customHeight="1" x14ac:dyDescent="0.2">
      <c r="A95" s="95" t="s">
        <v>105</v>
      </c>
      <c r="B95" s="274">
        <v>6</v>
      </c>
      <c r="C95" s="283">
        <v>6</v>
      </c>
      <c r="D95" s="283">
        <v>2</v>
      </c>
      <c r="E95" s="283">
        <v>0</v>
      </c>
      <c r="F95" s="283">
        <v>6</v>
      </c>
      <c r="G95" s="283">
        <v>7</v>
      </c>
      <c r="H95" s="284">
        <v>8</v>
      </c>
      <c r="I95" s="284">
        <v>4</v>
      </c>
      <c r="J95" s="285">
        <v>6</v>
      </c>
      <c r="K95" s="283">
        <v>3</v>
      </c>
      <c r="L95" s="283">
        <v>6</v>
      </c>
      <c r="M95" s="283">
        <v>7</v>
      </c>
      <c r="N95" s="284">
        <v>10</v>
      </c>
      <c r="O95" s="415">
        <v>7</v>
      </c>
      <c r="P95" s="451">
        <v>9</v>
      </c>
      <c r="Q95" s="473">
        <v>3</v>
      </c>
      <c r="R95" s="473">
        <v>0</v>
      </c>
      <c r="S95" s="513">
        <v>6</v>
      </c>
      <c r="T95" s="473">
        <v>7</v>
      </c>
      <c r="U95" s="541">
        <v>9</v>
      </c>
      <c r="V95" s="270">
        <v>6</v>
      </c>
      <c r="W95" s="269">
        <v>3</v>
      </c>
      <c r="X95" s="268">
        <v>10</v>
      </c>
      <c r="Y95" s="268">
        <v>3</v>
      </c>
      <c r="Z95" s="443">
        <v>5</v>
      </c>
      <c r="AA95" s="443">
        <v>1</v>
      </c>
      <c r="AB95" s="443">
        <v>6</v>
      </c>
      <c r="AC95" s="443">
        <v>3</v>
      </c>
      <c r="AD95" s="147">
        <v>2</v>
      </c>
      <c r="AE95" s="343" t="str">
        <f t="shared" si="37"/>
        <v xml:space="preserve"> </v>
      </c>
      <c r="AF95" s="344" t="str">
        <f t="shared" si="38"/>
        <v xml:space="preserve"> </v>
      </c>
      <c r="AG95" s="345" t="str">
        <f t="shared" si="39"/>
        <v xml:space="preserve"> </v>
      </c>
      <c r="AH95" s="211">
        <f t="shared" si="40"/>
        <v>3.6666666666666665</v>
      </c>
      <c r="AI95" s="154"/>
      <c r="AK95" s="159"/>
      <c r="AL95" s="159"/>
      <c r="AM95" s="159"/>
      <c r="AN95" s="159"/>
      <c r="AO95" s="159"/>
      <c r="AP95" s="1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</row>
    <row r="96" spans="1:177" ht="15" customHeight="1" thickBot="1" x14ac:dyDescent="0.25">
      <c r="A96" s="220" t="s">
        <v>88</v>
      </c>
      <c r="B96" s="99">
        <f>SUM(B92:B95)</f>
        <v>18</v>
      </c>
      <c r="C96" s="99">
        <f t="shared" ref="C96:AD96" si="41">SUM(C92:C95)</f>
        <v>13</v>
      </c>
      <c r="D96" s="99">
        <f t="shared" si="41"/>
        <v>13</v>
      </c>
      <c r="E96" s="99">
        <f t="shared" si="41"/>
        <v>13</v>
      </c>
      <c r="F96" s="99">
        <f t="shared" si="41"/>
        <v>22</v>
      </c>
      <c r="G96" s="99">
        <f t="shared" si="41"/>
        <v>22</v>
      </c>
      <c r="H96" s="99">
        <f t="shared" si="41"/>
        <v>23</v>
      </c>
      <c r="I96" s="99">
        <f t="shared" si="41"/>
        <v>27</v>
      </c>
      <c r="J96" s="99">
        <f t="shared" si="41"/>
        <v>23</v>
      </c>
      <c r="K96" s="99">
        <f t="shared" si="41"/>
        <v>25</v>
      </c>
      <c r="L96" s="99">
        <f t="shared" si="41"/>
        <v>33</v>
      </c>
      <c r="M96" s="99">
        <f t="shared" si="41"/>
        <v>27</v>
      </c>
      <c r="N96" s="99">
        <f t="shared" si="41"/>
        <v>32</v>
      </c>
      <c r="O96" s="393">
        <f t="shared" si="41"/>
        <v>29</v>
      </c>
      <c r="P96" s="393">
        <f t="shared" si="41"/>
        <v>33</v>
      </c>
      <c r="Q96" s="462">
        <f t="shared" si="41"/>
        <v>29</v>
      </c>
      <c r="R96" s="462">
        <f t="shared" si="41"/>
        <v>41</v>
      </c>
      <c r="S96" s="462">
        <f t="shared" si="41"/>
        <v>50</v>
      </c>
      <c r="T96" s="462">
        <f t="shared" si="41"/>
        <v>56</v>
      </c>
      <c r="U96" s="294">
        <f t="shared" si="41"/>
        <v>50</v>
      </c>
      <c r="V96" s="99">
        <f t="shared" si="41"/>
        <v>58</v>
      </c>
      <c r="W96" s="99">
        <f t="shared" si="41"/>
        <v>39</v>
      </c>
      <c r="X96" s="99">
        <f t="shared" si="41"/>
        <v>59</v>
      </c>
      <c r="Y96" s="99">
        <f t="shared" si="41"/>
        <v>57</v>
      </c>
      <c r="Z96" s="99">
        <f t="shared" si="41"/>
        <v>48</v>
      </c>
      <c r="AA96" s="99">
        <f t="shared" si="41"/>
        <v>39</v>
      </c>
      <c r="AB96" s="99">
        <f t="shared" si="41"/>
        <v>48</v>
      </c>
      <c r="AC96" s="99">
        <f t="shared" si="41"/>
        <v>49</v>
      </c>
      <c r="AD96" s="99">
        <f t="shared" si="41"/>
        <v>15</v>
      </c>
      <c r="AE96" s="181">
        <f t="shared" si="37"/>
        <v>-0.69387755102040816</v>
      </c>
      <c r="AF96" s="181">
        <f t="shared" si="38"/>
        <v>-0.73684210526315785</v>
      </c>
      <c r="AG96" s="181">
        <f t="shared" si="39"/>
        <v>-0.7321428571428571</v>
      </c>
      <c r="AH96" s="99">
        <f t="shared" si="40"/>
        <v>37.333333333333336</v>
      </c>
      <c r="AI96" s="166"/>
      <c r="AK96" s="167"/>
      <c r="AL96" s="167"/>
      <c r="AM96" s="167"/>
      <c r="AN96" s="167"/>
      <c r="AO96" s="167"/>
      <c r="AP96" s="167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</row>
    <row r="97" spans="1:177" ht="15" customHeight="1" thickTop="1" x14ac:dyDescent="0.2">
      <c r="A97" s="221" t="s">
        <v>89</v>
      </c>
      <c r="B97" s="223"/>
      <c r="C97" s="223"/>
      <c r="D97" s="224"/>
      <c r="E97" s="224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225"/>
      <c r="AA97" s="225"/>
      <c r="AB97" s="225"/>
      <c r="AC97" s="225"/>
      <c r="AD97" s="225"/>
      <c r="AE97" s="225"/>
      <c r="AF97" s="225"/>
      <c r="AG97" s="184"/>
      <c r="AH97" s="185"/>
      <c r="AI97" s="166"/>
      <c r="AK97" s="167"/>
      <c r="AL97" s="167"/>
      <c r="AM97" s="167"/>
      <c r="AN97" s="167"/>
      <c r="AO97" s="167"/>
      <c r="AP97" s="167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</row>
    <row r="98" spans="1:177" ht="15" customHeight="1" x14ac:dyDescent="0.2">
      <c r="A98" s="31" t="s">
        <v>106</v>
      </c>
      <c r="B98" s="174"/>
      <c r="C98" s="174"/>
      <c r="D98" s="174"/>
      <c r="E98" s="174"/>
      <c r="F98" s="174"/>
      <c r="G98" s="226"/>
      <c r="H98" s="157"/>
      <c r="I98" s="157">
        <v>0</v>
      </c>
      <c r="J98" s="227"/>
      <c r="K98" s="227"/>
      <c r="L98" s="227">
        <v>0</v>
      </c>
      <c r="M98" s="227"/>
      <c r="N98" s="157"/>
      <c r="O98" s="385">
        <v>0</v>
      </c>
      <c r="P98" s="385">
        <v>0</v>
      </c>
      <c r="Q98" s="475">
        <v>0</v>
      </c>
      <c r="R98" s="475">
        <v>0</v>
      </c>
      <c r="S98" s="503">
        <v>2</v>
      </c>
      <c r="T98" s="475">
        <v>2</v>
      </c>
      <c r="U98" s="297">
        <v>6</v>
      </c>
      <c r="V98" s="228">
        <v>4</v>
      </c>
      <c r="W98" s="228">
        <v>5</v>
      </c>
      <c r="X98" s="157">
        <v>2</v>
      </c>
      <c r="Y98" s="157">
        <v>4</v>
      </c>
      <c r="Z98" s="228">
        <v>2</v>
      </c>
      <c r="AA98" s="228">
        <v>6</v>
      </c>
      <c r="AB98" s="228">
        <v>3</v>
      </c>
      <c r="AC98" s="228">
        <v>3</v>
      </c>
      <c r="AD98" s="229">
        <v>3</v>
      </c>
      <c r="AE98" s="197" t="str">
        <f t="shared" ref="AE98:AE102" si="42">IF(AD98=0," ",IF(AH98&gt;20,(AD98-AC98)/AC98," "))</f>
        <v xml:space="preserve"> </v>
      </c>
      <c r="AF98" s="349" t="str">
        <f t="shared" ref="AF98:AF102" si="43">IF(AD98=0," ",IF(AH98&gt;20,(AD98-Y98)/Y98," "))</f>
        <v xml:space="preserve"> </v>
      </c>
      <c r="AG98" s="350" t="str">
        <f t="shared" ref="AG98:AG102" si="44">IF(AD98=0," ",(IF(AH98&gt;20,(AD98-T98)/T98," ")))</f>
        <v xml:space="preserve"> </v>
      </c>
      <c r="AH98" s="365">
        <f t="shared" ref="AH98:AH102" si="45">IF(AB98&gt;0,AVERAGE(AB98:AD98),"  ")</f>
        <v>3</v>
      </c>
      <c r="AI98" s="154"/>
      <c r="AK98" s="159"/>
      <c r="AL98" s="159"/>
      <c r="AM98" s="159"/>
      <c r="AN98" s="159"/>
      <c r="AO98" s="159"/>
      <c r="AP98" s="1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</row>
    <row r="99" spans="1:177" ht="15" customHeight="1" x14ac:dyDescent="0.2">
      <c r="A99" s="31" t="s">
        <v>107</v>
      </c>
      <c r="B99" s="133"/>
      <c r="C99" s="209"/>
      <c r="D99" s="133"/>
      <c r="E99" s="133"/>
      <c r="F99" s="133">
        <v>0</v>
      </c>
      <c r="G99" s="133"/>
      <c r="H99" s="22"/>
      <c r="I99" s="22"/>
      <c r="J99" s="134"/>
      <c r="K99" s="133"/>
      <c r="L99" s="133">
        <v>0</v>
      </c>
      <c r="M99" s="133">
        <v>0</v>
      </c>
      <c r="N99" s="22">
        <v>0</v>
      </c>
      <c r="O99" s="386">
        <v>0</v>
      </c>
      <c r="P99" s="386">
        <v>7</v>
      </c>
      <c r="Q99" s="454">
        <v>3</v>
      </c>
      <c r="R99" s="454">
        <v>6</v>
      </c>
      <c r="S99" s="504">
        <v>9</v>
      </c>
      <c r="T99" s="454">
        <v>12</v>
      </c>
      <c r="U99" s="397">
        <v>8</v>
      </c>
      <c r="V99" s="134">
        <v>9</v>
      </c>
      <c r="W99" s="134">
        <v>3</v>
      </c>
      <c r="X99" s="22">
        <v>5</v>
      </c>
      <c r="Y99" s="22">
        <v>9</v>
      </c>
      <c r="Z99" s="134">
        <v>12</v>
      </c>
      <c r="AA99" s="134">
        <v>8</v>
      </c>
      <c r="AB99" s="134">
        <v>3</v>
      </c>
      <c r="AC99" s="134">
        <v>9</v>
      </c>
      <c r="AD99" s="135">
        <v>11</v>
      </c>
      <c r="AE99" s="136" t="str">
        <f t="shared" si="42"/>
        <v xml:space="preserve"> </v>
      </c>
      <c r="AF99" s="302" t="str">
        <f t="shared" si="43"/>
        <v xml:space="preserve"> </v>
      </c>
      <c r="AG99" s="303" t="str">
        <f t="shared" si="44"/>
        <v xml:space="preserve"> </v>
      </c>
      <c r="AH99" s="211">
        <f t="shared" si="45"/>
        <v>7.666666666666667</v>
      </c>
      <c r="AI99" s="154"/>
      <c r="AK99" s="159"/>
      <c r="AL99" s="159"/>
      <c r="AM99" s="159"/>
      <c r="AN99" s="159"/>
      <c r="AO99" s="159"/>
      <c r="AP99" s="1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  <c r="FL99" s="59"/>
      <c r="FM99" s="59"/>
    </row>
    <row r="100" spans="1:177" ht="15" customHeight="1" x14ac:dyDescent="0.2">
      <c r="A100" s="31" t="s">
        <v>108</v>
      </c>
      <c r="B100" s="230">
        <v>0</v>
      </c>
      <c r="C100" s="133">
        <v>0</v>
      </c>
      <c r="D100" s="230"/>
      <c r="E100" s="230">
        <v>0</v>
      </c>
      <c r="F100" s="230">
        <v>0</v>
      </c>
      <c r="G100" s="206">
        <v>0</v>
      </c>
      <c r="H100" s="22">
        <v>0</v>
      </c>
      <c r="I100" s="22">
        <v>0</v>
      </c>
      <c r="J100" s="206">
        <v>1</v>
      </c>
      <c r="K100" s="206">
        <v>3</v>
      </c>
      <c r="L100" s="206">
        <v>7</v>
      </c>
      <c r="M100" s="206">
        <v>7</v>
      </c>
      <c r="N100" s="22">
        <v>4</v>
      </c>
      <c r="O100" s="386">
        <v>4</v>
      </c>
      <c r="P100" s="386">
        <v>9</v>
      </c>
      <c r="Q100" s="476">
        <v>4</v>
      </c>
      <c r="R100" s="476">
        <v>3</v>
      </c>
      <c r="S100" s="504">
        <v>6</v>
      </c>
      <c r="T100" s="476">
        <v>3</v>
      </c>
      <c r="U100" s="501">
        <v>4</v>
      </c>
      <c r="V100" s="21">
        <v>4</v>
      </c>
      <c r="W100" s="21">
        <v>2</v>
      </c>
      <c r="X100" s="22">
        <v>5</v>
      </c>
      <c r="Y100" s="22">
        <v>1</v>
      </c>
      <c r="Z100" s="21">
        <v>1</v>
      </c>
      <c r="AA100" s="21">
        <v>0</v>
      </c>
      <c r="AB100" s="21">
        <v>6</v>
      </c>
      <c r="AC100" s="21">
        <v>3</v>
      </c>
      <c r="AD100" s="231">
        <v>4</v>
      </c>
      <c r="AE100" s="136" t="str">
        <f t="shared" si="42"/>
        <v xml:space="preserve"> </v>
      </c>
      <c r="AF100" s="302" t="str">
        <f t="shared" si="43"/>
        <v xml:space="preserve"> </v>
      </c>
      <c r="AG100" s="303" t="str">
        <f t="shared" si="44"/>
        <v xml:space="preserve"> </v>
      </c>
      <c r="AH100" s="211">
        <f t="shared" si="45"/>
        <v>4.333333333333333</v>
      </c>
      <c r="AI100" s="154"/>
      <c r="AK100" s="159"/>
      <c r="AL100" s="159"/>
      <c r="AM100" s="159"/>
      <c r="AN100" s="159"/>
      <c r="AO100" s="159"/>
      <c r="AP100" s="1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</row>
    <row r="101" spans="1:177" ht="15" customHeight="1" thickBot="1" x14ac:dyDescent="0.25">
      <c r="A101" s="222" t="s">
        <v>90</v>
      </c>
      <c r="B101" s="232">
        <f>+B98+B99+B100</f>
        <v>0</v>
      </c>
      <c r="C101" s="232">
        <f t="shared" ref="C101:AD101" si="46">+C98+C99+C100</f>
        <v>0</v>
      </c>
      <c r="D101" s="232">
        <f t="shared" si="46"/>
        <v>0</v>
      </c>
      <c r="E101" s="232">
        <f t="shared" si="46"/>
        <v>0</v>
      </c>
      <c r="F101" s="232">
        <f t="shared" si="46"/>
        <v>0</v>
      </c>
      <c r="G101" s="232">
        <f t="shared" si="46"/>
        <v>0</v>
      </c>
      <c r="H101" s="232">
        <f t="shared" si="46"/>
        <v>0</v>
      </c>
      <c r="I101" s="232">
        <f t="shared" si="46"/>
        <v>0</v>
      </c>
      <c r="J101" s="232">
        <f t="shared" si="46"/>
        <v>1</v>
      </c>
      <c r="K101" s="232">
        <f t="shared" si="46"/>
        <v>3</v>
      </c>
      <c r="L101" s="232">
        <f t="shared" si="46"/>
        <v>7</v>
      </c>
      <c r="M101" s="232">
        <f t="shared" si="46"/>
        <v>7</v>
      </c>
      <c r="N101" s="232">
        <f t="shared" si="46"/>
        <v>4</v>
      </c>
      <c r="O101" s="416">
        <f t="shared" si="46"/>
        <v>4</v>
      </c>
      <c r="P101" s="416">
        <f t="shared" si="46"/>
        <v>16</v>
      </c>
      <c r="Q101" s="464">
        <f t="shared" si="46"/>
        <v>7</v>
      </c>
      <c r="R101" s="464">
        <f t="shared" si="46"/>
        <v>9</v>
      </c>
      <c r="S101" s="464">
        <f t="shared" si="46"/>
        <v>17</v>
      </c>
      <c r="T101" s="464">
        <f t="shared" si="46"/>
        <v>17</v>
      </c>
      <c r="U101" s="295">
        <f t="shared" si="46"/>
        <v>18</v>
      </c>
      <c r="V101" s="232">
        <f t="shared" si="46"/>
        <v>17</v>
      </c>
      <c r="W101" s="232">
        <f t="shared" si="46"/>
        <v>10</v>
      </c>
      <c r="X101" s="232">
        <f t="shared" si="46"/>
        <v>12</v>
      </c>
      <c r="Y101" s="232">
        <f t="shared" si="46"/>
        <v>14</v>
      </c>
      <c r="Z101" s="232">
        <f t="shared" si="46"/>
        <v>15</v>
      </c>
      <c r="AA101" s="232">
        <f t="shared" si="46"/>
        <v>14</v>
      </c>
      <c r="AB101" s="232">
        <f t="shared" si="46"/>
        <v>12</v>
      </c>
      <c r="AC101" s="232">
        <f t="shared" si="46"/>
        <v>15</v>
      </c>
      <c r="AD101" s="232">
        <f t="shared" si="46"/>
        <v>18</v>
      </c>
      <c r="AE101" s="232" t="str">
        <f t="shared" si="42"/>
        <v xml:space="preserve"> </v>
      </c>
      <c r="AF101" s="232" t="str">
        <f t="shared" si="43"/>
        <v xml:space="preserve"> </v>
      </c>
      <c r="AG101" s="232" t="str">
        <f t="shared" si="44"/>
        <v xml:space="preserve"> </v>
      </c>
      <c r="AH101" s="232">
        <f t="shared" si="45"/>
        <v>15</v>
      </c>
      <c r="AI101" s="154"/>
      <c r="AK101" s="159"/>
      <c r="AL101" s="159"/>
      <c r="AM101" s="159"/>
      <c r="AN101" s="159"/>
      <c r="AO101" s="159"/>
      <c r="AP101" s="1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  <c r="FL101" s="59"/>
      <c r="FM101" s="59"/>
    </row>
    <row r="102" spans="1:177" ht="15" customHeight="1" thickTop="1" thickBot="1" x14ac:dyDescent="0.25">
      <c r="A102" s="52" t="s">
        <v>109</v>
      </c>
      <c r="B102" s="259">
        <v>30</v>
      </c>
      <c r="C102" s="259">
        <v>32</v>
      </c>
      <c r="D102" s="260">
        <v>35</v>
      </c>
      <c r="E102" s="260">
        <v>37</v>
      </c>
      <c r="F102" s="259">
        <v>38</v>
      </c>
      <c r="G102" s="259">
        <v>28</v>
      </c>
      <c r="H102" s="259">
        <v>35</v>
      </c>
      <c r="I102" s="259">
        <v>39</v>
      </c>
      <c r="J102" s="259">
        <v>46</v>
      </c>
      <c r="K102" s="259">
        <v>51</v>
      </c>
      <c r="L102" s="259">
        <v>37</v>
      </c>
      <c r="M102" s="259">
        <v>39</v>
      </c>
      <c r="N102" s="259">
        <v>38</v>
      </c>
      <c r="O102" s="417">
        <v>49</v>
      </c>
      <c r="P102" s="417">
        <v>41</v>
      </c>
      <c r="Q102" s="477">
        <v>32</v>
      </c>
      <c r="R102" s="477">
        <v>37</v>
      </c>
      <c r="S102" s="477">
        <v>21</v>
      </c>
      <c r="T102" s="477">
        <v>26</v>
      </c>
      <c r="U102" s="296">
        <v>27</v>
      </c>
      <c r="V102" s="259">
        <v>30</v>
      </c>
      <c r="W102" s="259">
        <v>27</v>
      </c>
      <c r="X102" s="259">
        <v>40</v>
      </c>
      <c r="Y102" s="259">
        <v>36</v>
      </c>
      <c r="Z102" s="261">
        <v>38</v>
      </c>
      <c r="AA102" s="261">
        <v>31</v>
      </c>
      <c r="AB102" s="261">
        <v>32</v>
      </c>
      <c r="AC102" s="261">
        <v>32</v>
      </c>
      <c r="AD102" s="261">
        <v>35</v>
      </c>
      <c r="AE102" s="334">
        <f t="shared" si="42"/>
        <v>9.375E-2</v>
      </c>
      <c r="AF102" s="334">
        <f t="shared" si="43"/>
        <v>-2.7777777777777776E-2</v>
      </c>
      <c r="AG102" s="334">
        <f t="shared" si="44"/>
        <v>0.34615384615384615</v>
      </c>
      <c r="AH102" s="261">
        <f t="shared" si="45"/>
        <v>33</v>
      </c>
      <c r="AI102" s="154"/>
      <c r="AK102" s="159"/>
      <c r="AL102" s="159"/>
      <c r="AM102" s="159"/>
      <c r="AN102" s="159"/>
      <c r="AO102" s="159"/>
      <c r="AP102" s="1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</row>
    <row r="103" spans="1:177" ht="15" customHeight="1" thickTop="1" x14ac:dyDescent="0.2">
      <c r="A103" s="58" t="s">
        <v>93</v>
      </c>
      <c r="B103" s="233"/>
      <c r="C103" s="233"/>
      <c r="D103" s="234"/>
      <c r="E103" s="234"/>
      <c r="F103" s="233"/>
      <c r="G103" s="235"/>
      <c r="H103" s="235"/>
      <c r="I103" s="235"/>
      <c r="J103" s="233"/>
      <c r="K103" s="233"/>
      <c r="L103" s="233"/>
      <c r="M103" s="233"/>
      <c r="N103" s="233"/>
      <c r="O103" s="233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7"/>
      <c r="AA103" s="237"/>
      <c r="AB103" s="237"/>
      <c r="AC103" s="237"/>
      <c r="AD103" s="237"/>
      <c r="AE103" s="376"/>
      <c r="AF103" s="376"/>
      <c r="AG103" s="377"/>
      <c r="AH103" s="378"/>
      <c r="AI103" s="154"/>
      <c r="AK103" s="159"/>
      <c r="AL103" s="159"/>
      <c r="AM103" s="159"/>
      <c r="AN103" s="159"/>
      <c r="AO103" s="159"/>
      <c r="AP103" s="1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/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</row>
    <row r="104" spans="1:177" ht="15" customHeight="1" x14ac:dyDescent="0.2">
      <c r="A104" s="100" t="s">
        <v>125</v>
      </c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28"/>
      <c r="N104" s="228"/>
      <c r="O104" s="418"/>
      <c r="P104" s="418"/>
      <c r="Q104" s="475"/>
      <c r="R104" s="475">
        <v>0</v>
      </c>
      <c r="S104" s="475"/>
      <c r="T104" s="475"/>
      <c r="U104" s="297"/>
      <c r="V104" s="228"/>
      <c r="W104" s="228"/>
      <c r="X104" s="157"/>
      <c r="Y104" s="157">
        <v>6</v>
      </c>
      <c r="Z104" s="228">
        <v>0</v>
      </c>
      <c r="AA104" s="228">
        <v>6</v>
      </c>
      <c r="AB104" s="228">
        <v>4</v>
      </c>
      <c r="AC104" s="228">
        <v>4</v>
      </c>
      <c r="AD104" s="240">
        <v>5</v>
      </c>
      <c r="AE104" s="343" t="str">
        <f t="shared" ref="AE104:AE112" si="47">IF(AD104=0," ",IF(AH104&gt;20,(AD104-AC104)/AC104," "))</f>
        <v xml:space="preserve"> </v>
      </c>
      <c r="AF104" s="344" t="str">
        <f t="shared" ref="AF104:AF112" si="48">IF(AD104=0," ",IF(AH104&gt;20,(AD104-Y104)/Y104," "))</f>
        <v xml:space="preserve"> </v>
      </c>
      <c r="AG104" s="345" t="str">
        <f t="shared" ref="AG104:AG112" si="49">IF(AD104=0," ",(IF(AH104&gt;20,(AD104-T104)/T104," ")))</f>
        <v xml:space="preserve"> </v>
      </c>
      <c r="AH104" s="211">
        <f t="shared" ref="AH104:AH112" si="50">IF(AB104&gt;0,AVERAGE(AB104:AD104),"  ")</f>
        <v>4.333333333333333</v>
      </c>
    </row>
    <row r="105" spans="1:177" ht="15" customHeight="1" x14ac:dyDescent="0.2">
      <c r="A105" s="1" t="s">
        <v>145</v>
      </c>
      <c r="B105" s="133">
        <v>80</v>
      </c>
      <c r="C105" s="209">
        <v>87</v>
      </c>
      <c r="D105" s="133">
        <v>88</v>
      </c>
      <c r="E105" s="133">
        <v>89</v>
      </c>
      <c r="F105" s="133">
        <v>74</v>
      </c>
      <c r="G105" s="133">
        <v>61</v>
      </c>
      <c r="H105" s="22">
        <v>51</v>
      </c>
      <c r="I105" s="22">
        <v>49</v>
      </c>
      <c r="J105" s="134">
        <v>70</v>
      </c>
      <c r="K105" s="133">
        <v>52</v>
      </c>
      <c r="L105" s="133">
        <v>51</v>
      </c>
      <c r="M105" s="133">
        <v>48</v>
      </c>
      <c r="N105" s="22">
        <v>38</v>
      </c>
      <c r="O105" s="386">
        <v>47</v>
      </c>
      <c r="P105" s="386">
        <v>46</v>
      </c>
      <c r="Q105" s="454">
        <v>35</v>
      </c>
      <c r="R105" s="454">
        <v>26</v>
      </c>
      <c r="S105" s="504">
        <v>36</v>
      </c>
      <c r="T105" s="454">
        <v>33</v>
      </c>
      <c r="U105" s="397">
        <v>32</v>
      </c>
      <c r="V105" s="134">
        <v>38</v>
      </c>
      <c r="W105" s="134">
        <v>28</v>
      </c>
      <c r="X105" s="22">
        <v>27</v>
      </c>
      <c r="Y105" s="22">
        <v>36</v>
      </c>
      <c r="Z105" s="134">
        <v>27</v>
      </c>
      <c r="AA105" s="134">
        <v>29</v>
      </c>
      <c r="AB105" s="134">
        <v>25</v>
      </c>
      <c r="AC105" s="134">
        <v>20</v>
      </c>
      <c r="AD105" s="135">
        <v>18</v>
      </c>
      <c r="AE105" s="343">
        <f t="shared" si="47"/>
        <v>-0.1</v>
      </c>
      <c r="AF105" s="344">
        <f t="shared" si="48"/>
        <v>-0.5</v>
      </c>
      <c r="AG105" s="345">
        <f t="shared" si="49"/>
        <v>-0.45454545454545453</v>
      </c>
      <c r="AH105" s="211">
        <f t="shared" si="50"/>
        <v>21</v>
      </c>
    </row>
    <row r="106" spans="1:177" ht="15" customHeight="1" x14ac:dyDescent="0.2">
      <c r="A106" s="26" t="s">
        <v>35</v>
      </c>
      <c r="B106" s="230"/>
      <c r="C106" s="133"/>
      <c r="D106" s="230"/>
      <c r="E106" s="230"/>
      <c r="F106" s="230"/>
      <c r="G106" s="206"/>
      <c r="H106" s="22"/>
      <c r="I106" s="22"/>
      <c r="J106" s="206"/>
      <c r="K106" s="206">
        <v>1</v>
      </c>
      <c r="L106" s="206">
        <v>0</v>
      </c>
      <c r="M106" s="206">
        <v>3</v>
      </c>
      <c r="N106" s="22">
        <v>7</v>
      </c>
      <c r="O106" s="387">
        <v>9</v>
      </c>
      <c r="P106" s="387">
        <v>5</v>
      </c>
      <c r="Q106" s="478">
        <v>12</v>
      </c>
      <c r="R106" s="478">
        <v>7</v>
      </c>
      <c r="S106" s="505">
        <v>11</v>
      </c>
      <c r="T106" s="478">
        <v>12</v>
      </c>
      <c r="U106" s="502">
        <v>7</v>
      </c>
      <c r="V106" s="28">
        <v>4</v>
      </c>
      <c r="W106" s="28">
        <v>3</v>
      </c>
      <c r="X106" s="27">
        <v>8</v>
      </c>
      <c r="Y106" s="27">
        <v>8</v>
      </c>
      <c r="Z106" s="28">
        <v>4</v>
      </c>
      <c r="AA106" s="28">
        <v>7</v>
      </c>
      <c r="AB106" s="28">
        <v>6</v>
      </c>
      <c r="AC106" s="28">
        <v>5</v>
      </c>
      <c r="AD106" s="368">
        <v>4</v>
      </c>
      <c r="AE106" s="346" t="str">
        <f t="shared" si="47"/>
        <v xml:space="preserve"> </v>
      </c>
      <c r="AF106" s="347" t="str">
        <f t="shared" si="48"/>
        <v xml:space="preserve"> </v>
      </c>
      <c r="AG106" s="348" t="str">
        <f t="shared" si="49"/>
        <v xml:space="preserve"> </v>
      </c>
      <c r="AH106" s="364">
        <f t="shared" si="50"/>
        <v>5</v>
      </c>
    </row>
    <row r="107" spans="1:177" ht="15" customHeight="1" x14ac:dyDescent="0.2">
      <c r="A107" s="3" t="s">
        <v>111</v>
      </c>
      <c r="B107" s="230"/>
      <c r="C107" s="230"/>
      <c r="D107" s="230"/>
      <c r="E107" s="230">
        <v>6</v>
      </c>
      <c r="F107" s="230">
        <v>21</v>
      </c>
      <c r="G107" s="206">
        <v>9</v>
      </c>
      <c r="H107" s="22">
        <v>11</v>
      </c>
      <c r="I107" s="22">
        <v>13</v>
      </c>
      <c r="J107" s="206">
        <v>13</v>
      </c>
      <c r="K107" s="206">
        <v>15</v>
      </c>
      <c r="L107" s="206">
        <v>11</v>
      </c>
      <c r="M107" s="206">
        <v>15</v>
      </c>
      <c r="N107" s="22">
        <v>2</v>
      </c>
      <c r="O107" s="386">
        <v>12</v>
      </c>
      <c r="P107" s="386">
        <v>12</v>
      </c>
      <c r="Q107" s="476">
        <v>13</v>
      </c>
      <c r="R107" s="476">
        <v>12</v>
      </c>
      <c r="S107" s="504">
        <v>13</v>
      </c>
      <c r="T107" s="476">
        <v>17</v>
      </c>
      <c r="U107" s="501">
        <v>9</v>
      </c>
      <c r="V107" s="21">
        <v>14</v>
      </c>
      <c r="W107" s="21">
        <v>6</v>
      </c>
      <c r="X107" s="22">
        <v>7</v>
      </c>
      <c r="Y107" s="22">
        <v>6</v>
      </c>
      <c r="Z107" s="21">
        <v>5</v>
      </c>
      <c r="AA107" s="21">
        <v>4</v>
      </c>
      <c r="AB107" s="21">
        <v>4</v>
      </c>
      <c r="AC107" s="21">
        <v>1</v>
      </c>
      <c r="AD107" s="231">
        <v>6</v>
      </c>
      <c r="AE107" s="340" t="str">
        <f t="shared" si="47"/>
        <v xml:space="preserve"> </v>
      </c>
      <c r="AF107" s="341" t="str">
        <f t="shared" si="48"/>
        <v xml:space="preserve"> </v>
      </c>
      <c r="AG107" s="342" t="str">
        <f t="shared" si="49"/>
        <v xml:space="preserve"> </v>
      </c>
      <c r="AH107" s="363">
        <f t="shared" si="50"/>
        <v>3.6666666666666665</v>
      </c>
    </row>
    <row r="108" spans="1:177" ht="15" customHeight="1" x14ac:dyDescent="0.2">
      <c r="A108" s="3" t="s">
        <v>128</v>
      </c>
      <c r="B108" s="206"/>
      <c r="C108" s="256">
        <v>0</v>
      </c>
      <c r="D108" s="206">
        <v>8</v>
      </c>
      <c r="E108" s="206">
        <v>11</v>
      </c>
      <c r="F108" s="206">
        <v>12</v>
      </c>
      <c r="G108" s="206">
        <v>9</v>
      </c>
      <c r="H108" s="22">
        <v>8</v>
      </c>
      <c r="I108" s="22">
        <v>15</v>
      </c>
      <c r="J108" s="206">
        <v>11</v>
      </c>
      <c r="K108" s="206">
        <v>16</v>
      </c>
      <c r="L108" s="206">
        <v>9</v>
      </c>
      <c r="M108" s="206">
        <v>6</v>
      </c>
      <c r="N108" s="22">
        <v>12</v>
      </c>
      <c r="O108" s="386">
        <v>14</v>
      </c>
      <c r="P108" s="386">
        <v>7</v>
      </c>
      <c r="Q108" s="476">
        <v>6</v>
      </c>
      <c r="R108" s="476">
        <v>11</v>
      </c>
      <c r="S108" s="504">
        <v>11</v>
      </c>
      <c r="T108" s="476">
        <v>21</v>
      </c>
      <c r="U108" s="501">
        <v>14</v>
      </c>
      <c r="V108" s="21">
        <v>14</v>
      </c>
      <c r="W108" s="21">
        <v>10</v>
      </c>
      <c r="X108" s="22">
        <v>13</v>
      </c>
      <c r="Y108" s="22">
        <v>11</v>
      </c>
      <c r="Z108" s="21">
        <v>8</v>
      </c>
      <c r="AA108" s="21">
        <v>13</v>
      </c>
      <c r="AB108" s="21">
        <v>17</v>
      </c>
      <c r="AC108" s="21">
        <v>5</v>
      </c>
      <c r="AD108" s="231">
        <v>7</v>
      </c>
      <c r="AE108" s="343" t="str">
        <f t="shared" si="47"/>
        <v xml:space="preserve"> </v>
      </c>
      <c r="AF108" s="344" t="str">
        <f t="shared" si="48"/>
        <v xml:space="preserve"> </v>
      </c>
      <c r="AG108" s="345" t="str">
        <f t="shared" si="49"/>
        <v xml:space="preserve"> </v>
      </c>
      <c r="AH108" s="211">
        <f t="shared" si="50"/>
        <v>9.6666666666666661</v>
      </c>
    </row>
    <row r="109" spans="1:177" ht="15" customHeight="1" x14ac:dyDescent="0.2">
      <c r="A109" s="3" t="s">
        <v>129</v>
      </c>
      <c r="B109" s="206"/>
      <c r="C109" s="256"/>
      <c r="D109" s="206"/>
      <c r="E109" s="206"/>
      <c r="F109" s="206"/>
      <c r="G109" s="206"/>
      <c r="H109" s="22"/>
      <c r="I109" s="22"/>
      <c r="J109" s="206"/>
      <c r="K109" s="206"/>
      <c r="L109" s="206"/>
      <c r="M109" s="206"/>
      <c r="N109" s="22"/>
      <c r="O109" s="386"/>
      <c r="P109" s="386"/>
      <c r="Q109" s="476"/>
      <c r="R109" s="476">
        <v>0</v>
      </c>
      <c r="S109" s="504">
        <v>0</v>
      </c>
      <c r="T109" s="476"/>
      <c r="U109" s="501"/>
      <c r="V109" s="21"/>
      <c r="W109" s="21"/>
      <c r="X109" s="22">
        <v>0</v>
      </c>
      <c r="Y109" s="22">
        <v>0</v>
      </c>
      <c r="Z109" s="21">
        <v>1</v>
      </c>
      <c r="AA109" s="21">
        <v>2</v>
      </c>
      <c r="AB109" s="21">
        <v>12</v>
      </c>
      <c r="AC109" s="21">
        <v>4</v>
      </c>
      <c r="AD109" s="231">
        <v>3</v>
      </c>
      <c r="AE109" s="343" t="str">
        <f t="shared" si="47"/>
        <v xml:space="preserve"> </v>
      </c>
      <c r="AF109" s="344" t="str">
        <f t="shared" si="48"/>
        <v xml:space="preserve"> </v>
      </c>
      <c r="AG109" s="345" t="str">
        <f t="shared" si="49"/>
        <v xml:space="preserve"> </v>
      </c>
      <c r="AH109" s="211">
        <f t="shared" si="50"/>
        <v>6.333333333333333</v>
      </c>
    </row>
    <row r="110" spans="1:177" ht="15" customHeight="1" x14ac:dyDescent="0.2">
      <c r="A110" s="3" t="s">
        <v>144</v>
      </c>
      <c r="B110" s="206"/>
      <c r="C110" s="256"/>
      <c r="D110" s="206"/>
      <c r="E110" s="206"/>
      <c r="F110" s="206"/>
      <c r="G110" s="206"/>
      <c r="H110" s="22"/>
      <c r="I110" s="22"/>
      <c r="J110" s="206"/>
      <c r="K110" s="206"/>
      <c r="L110" s="206"/>
      <c r="M110" s="206"/>
      <c r="N110" s="22"/>
      <c r="O110" s="386"/>
      <c r="P110" s="386"/>
      <c r="Q110" s="476"/>
      <c r="R110" s="476">
        <v>0</v>
      </c>
      <c r="S110" s="504">
        <v>0</v>
      </c>
      <c r="T110" s="476"/>
      <c r="U110" s="501"/>
      <c r="V110" s="21"/>
      <c r="W110" s="21"/>
      <c r="X110" s="22">
        <v>0</v>
      </c>
      <c r="Y110" s="22">
        <v>0</v>
      </c>
      <c r="Z110" s="21">
        <v>0</v>
      </c>
      <c r="AA110" s="21">
        <v>0</v>
      </c>
      <c r="AB110" s="21">
        <v>0</v>
      </c>
      <c r="AC110" s="21">
        <v>1</v>
      </c>
      <c r="AD110" s="231">
        <v>0</v>
      </c>
      <c r="AE110" s="343" t="str">
        <f t="shared" si="47"/>
        <v xml:space="preserve"> </v>
      </c>
      <c r="AF110" s="344" t="str">
        <f t="shared" si="48"/>
        <v xml:space="preserve"> </v>
      </c>
      <c r="AG110" s="345" t="str">
        <f t="shared" si="49"/>
        <v xml:space="preserve"> </v>
      </c>
      <c r="AH110" s="211" t="str">
        <f t="shared" si="50"/>
        <v xml:space="preserve">  </v>
      </c>
    </row>
    <row r="111" spans="1:177" ht="15" customHeight="1" x14ac:dyDescent="0.2">
      <c r="A111" s="3" t="s">
        <v>147</v>
      </c>
      <c r="B111" s="206"/>
      <c r="C111" s="256"/>
      <c r="D111" s="206"/>
      <c r="E111" s="206"/>
      <c r="F111" s="206"/>
      <c r="G111" s="206"/>
      <c r="H111" s="22"/>
      <c r="I111" s="22"/>
      <c r="J111" s="206"/>
      <c r="K111" s="206"/>
      <c r="L111" s="206"/>
      <c r="M111" s="206"/>
      <c r="N111" s="22"/>
      <c r="O111" s="386"/>
      <c r="P111" s="386"/>
      <c r="Q111" s="476"/>
      <c r="R111" s="476">
        <v>0</v>
      </c>
      <c r="S111" s="504">
        <v>0</v>
      </c>
      <c r="T111" s="476"/>
      <c r="U111" s="501"/>
      <c r="V111" s="21"/>
      <c r="W111" s="21"/>
      <c r="X111" s="22">
        <v>0</v>
      </c>
      <c r="Y111" s="22">
        <v>0</v>
      </c>
      <c r="Z111" s="21">
        <v>0</v>
      </c>
      <c r="AA111" s="21">
        <v>0</v>
      </c>
      <c r="AB111" s="21">
        <v>0</v>
      </c>
      <c r="AC111" s="21">
        <v>1</v>
      </c>
      <c r="AD111" s="231">
        <v>0</v>
      </c>
      <c r="AE111" s="343" t="str">
        <f t="shared" si="47"/>
        <v xml:space="preserve"> </v>
      </c>
      <c r="AF111" s="344" t="str">
        <f t="shared" si="48"/>
        <v xml:space="preserve"> </v>
      </c>
      <c r="AG111" s="345" t="str">
        <f t="shared" si="49"/>
        <v xml:space="preserve"> </v>
      </c>
      <c r="AH111" s="211" t="str">
        <f t="shared" si="50"/>
        <v xml:space="preserve">  </v>
      </c>
    </row>
    <row r="112" spans="1:177" ht="12.75" thickBot="1" x14ac:dyDescent="0.25">
      <c r="A112" s="257" t="s">
        <v>94</v>
      </c>
      <c r="B112" s="258">
        <f>SUM(B104:B111)</f>
        <v>80</v>
      </c>
      <c r="C112" s="258">
        <f t="shared" ref="C112:AD112" si="51">SUM(C104:C111)</f>
        <v>87</v>
      </c>
      <c r="D112" s="258">
        <f t="shared" si="51"/>
        <v>96</v>
      </c>
      <c r="E112" s="258">
        <f t="shared" si="51"/>
        <v>106</v>
      </c>
      <c r="F112" s="258">
        <f t="shared" si="51"/>
        <v>107</v>
      </c>
      <c r="G112" s="258">
        <f t="shared" si="51"/>
        <v>79</v>
      </c>
      <c r="H112" s="258">
        <f t="shared" si="51"/>
        <v>70</v>
      </c>
      <c r="I112" s="258">
        <f t="shared" si="51"/>
        <v>77</v>
      </c>
      <c r="J112" s="258">
        <f t="shared" si="51"/>
        <v>94</v>
      </c>
      <c r="K112" s="258">
        <f t="shared" si="51"/>
        <v>84</v>
      </c>
      <c r="L112" s="258">
        <f t="shared" si="51"/>
        <v>71</v>
      </c>
      <c r="M112" s="258">
        <f t="shared" si="51"/>
        <v>72</v>
      </c>
      <c r="N112" s="258">
        <f t="shared" si="51"/>
        <v>59</v>
      </c>
      <c r="O112" s="258">
        <f t="shared" si="51"/>
        <v>82</v>
      </c>
      <c r="P112" s="419">
        <f t="shared" si="51"/>
        <v>70</v>
      </c>
      <c r="Q112" s="479">
        <f t="shared" si="51"/>
        <v>66</v>
      </c>
      <c r="R112" s="479">
        <f t="shared" si="51"/>
        <v>56</v>
      </c>
      <c r="S112" s="479">
        <f t="shared" si="51"/>
        <v>71</v>
      </c>
      <c r="T112" s="479">
        <f t="shared" si="51"/>
        <v>83</v>
      </c>
      <c r="U112" s="298">
        <f t="shared" si="51"/>
        <v>62</v>
      </c>
      <c r="V112" s="258">
        <f t="shared" si="51"/>
        <v>70</v>
      </c>
      <c r="W112" s="258">
        <f t="shared" si="51"/>
        <v>47</v>
      </c>
      <c r="X112" s="258">
        <f t="shared" si="51"/>
        <v>55</v>
      </c>
      <c r="Y112" s="258">
        <f t="shared" si="51"/>
        <v>67</v>
      </c>
      <c r="Z112" s="258">
        <f t="shared" si="51"/>
        <v>45</v>
      </c>
      <c r="AA112" s="258">
        <f t="shared" si="51"/>
        <v>61</v>
      </c>
      <c r="AB112" s="258">
        <f t="shared" si="51"/>
        <v>68</v>
      </c>
      <c r="AC112" s="258">
        <f t="shared" si="51"/>
        <v>41</v>
      </c>
      <c r="AD112" s="258">
        <f t="shared" si="51"/>
        <v>43</v>
      </c>
      <c r="AE112" s="335">
        <f t="shared" si="47"/>
        <v>4.878048780487805E-2</v>
      </c>
      <c r="AF112" s="335">
        <f t="shared" si="48"/>
        <v>-0.35820895522388058</v>
      </c>
      <c r="AG112" s="335">
        <f t="shared" si="49"/>
        <v>-0.48192771084337349</v>
      </c>
      <c r="AH112" s="258">
        <f t="shared" si="50"/>
        <v>50.666666666666664</v>
      </c>
    </row>
    <row r="113" spans="1:42" ht="12.75" thickTop="1" x14ac:dyDescent="0.2">
      <c r="A113" s="371" t="s">
        <v>114</v>
      </c>
      <c r="B113" s="241"/>
      <c r="C113" s="241"/>
      <c r="D113" s="242"/>
      <c r="E113" s="242"/>
      <c r="F113" s="241"/>
      <c r="G113" s="241"/>
      <c r="H113" s="243"/>
      <c r="I113" s="243"/>
      <c r="J113" s="243"/>
      <c r="K113" s="243"/>
      <c r="L113" s="244"/>
      <c r="M113" s="243"/>
      <c r="N113" s="243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6"/>
      <c r="AA113" s="246"/>
      <c r="AB113" s="246"/>
      <c r="AC113" s="246"/>
      <c r="AD113" s="246"/>
      <c r="AE113" s="246"/>
      <c r="AF113" s="247"/>
      <c r="AG113" s="246"/>
      <c r="AH113" s="374"/>
    </row>
    <row r="114" spans="1:42" x14ac:dyDescent="0.2">
      <c r="A114" s="248" t="s">
        <v>61</v>
      </c>
      <c r="B114" s="249">
        <f t="shared" ref="B114:R114" si="52">+B85+B93</f>
        <v>0</v>
      </c>
      <c r="C114" s="249">
        <f t="shared" si="52"/>
        <v>0</v>
      </c>
      <c r="D114" s="249">
        <f t="shared" si="52"/>
        <v>0</v>
      </c>
      <c r="E114" s="249">
        <f t="shared" si="52"/>
        <v>0</v>
      </c>
      <c r="F114" s="249">
        <f t="shared" si="52"/>
        <v>0</v>
      </c>
      <c r="G114" s="249">
        <f t="shared" si="52"/>
        <v>0</v>
      </c>
      <c r="H114" s="249">
        <f t="shared" si="52"/>
        <v>0</v>
      </c>
      <c r="I114" s="249">
        <f t="shared" si="52"/>
        <v>0</v>
      </c>
      <c r="J114" s="249">
        <f t="shared" si="52"/>
        <v>0</v>
      </c>
      <c r="K114" s="249">
        <f t="shared" si="52"/>
        <v>0</v>
      </c>
      <c r="L114" s="249">
        <f t="shared" si="52"/>
        <v>0</v>
      </c>
      <c r="M114" s="249">
        <f t="shared" si="52"/>
        <v>0</v>
      </c>
      <c r="N114" s="249">
        <f t="shared" si="52"/>
        <v>0</v>
      </c>
      <c r="O114" s="420">
        <f t="shared" si="52"/>
        <v>0</v>
      </c>
      <c r="P114" s="420">
        <f t="shared" si="52"/>
        <v>8</v>
      </c>
      <c r="Q114" s="480">
        <f t="shared" si="52"/>
        <v>7</v>
      </c>
      <c r="R114" s="480">
        <f t="shared" si="52"/>
        <v>8</v>
      </c>
      <c r="S114" s="480">
        <f t="shared" ref="S114:AB114" si="53">+S85+S93+S111</f>
        <v>8</v>
      </c>
      <c r="T114" s="480">
        <f t="shared" si="53"/>
        <v>16</v>
      </c>
      <c r="U114" s="299">
        <f t="shared" si="53"/>
        <v>13</v>
      </c>
      <c r="V114" s="249">
        <f t="shared" si="53"/>
        <v>8</v>
      </c>
      <c r="W114" s="249">
        <f t="shared" si="53"/>
        <v>1</v>
      </c>
      <c r="X114" s="249">
        <f t="shared" si="53"/>
        <v>5</v>
      </c>
      <c r="Y114" s="249">
        <f>+Y85+Y93+Y111</f>
        <v>21</v>
      </c>
      <c r="Z114" s="249">
        <f t="shared" si="53"/>
        <v>10</v>
      </c>
      <c r="AA114" s="249">
        <f t="shared" si="53"/>
        <v>10</v>
      </c>
      <c r="AB114" s="249">
        <f t="shared" si="53"/>
        <v>3</v>
      </c>
      <c r="AC114" s="249">
        <f>+AC110+AC93+AC85</f>
        <v>12</v>
      </c>
      <c r="AD114" s="263">
        <f>+AD110+AD93+AD85</f>
        <v>0</v>
      </c>
      <c r="AE114" s="251" t="str">
        <f t="shared" ref="AE114:AE118" si="54">IF(AD114=0," ",IF(AH114&gt;20,(AD114-AC114)/AC114," "))</f>
        <v xml:space="preserve"> </v>
      </c>
      <c r="AF114" s="338" t="str">
        <f t="shared" ref="AF114:AF118" si="55">IF(AD114=0," ",IF(AH114&gt;20,(AD114-Y114)/Y114," "))</f>
        <v xml:space="preserve"> </v>
      </c>
      <c r="AG114" s="251" t="str">
        <f t="shared" ref="AG114:AG118" si="56">IF(AD114=0," ",(IF(AH114&gt;20,(AD114-T114)/T114," ")))</f>
        <v xml:space="preserve"> </v>
      </c>
      <c r="AH114" s="366">
        <f t="shared" ref="AH114:AH118" si="57">IF(AB114&gt;0,AVERAGE(AB114:AD114),"  ")</f>
        <v>5</v>
      </c>
    </row>
    <row r="115" spans="1:42" x14ac:dyDescent="0.2">
      <c r="A115" s="248" t="s">
        <v>34</v>
      </c>
      <c r="B115" s="250">
        <f t="shared" ref="B115:Z115" si="58">+B81+B82+B86+B92+B94+B95+B98+B99+B100+B105+B106+B107+B108+B102+B89</f>
        <v>138</v>
      </c>
      <c r="C115" s="250">
        <f t="shared" si="58"/>
        <v>137</v>
      </c>
      <c r="D115" s="250">
        <f t="shared" si="58"/>
        <v>158</v>
      </c>
      <c r="E115" s="250">
        <f t="shared" si="58"/>
        <v>163</v>
      </c>
      <c r="F115" s="250">
        <f t="shared" si="58"/>
        <v>178</v>
      </c>
      <c r="G115" s="250">
        <f t="shared" si="58"/>
        <v>142</v>
      </c>
      <c r="H115" s="250">
        <f t="shared" si="58"/>
        <v>136</v>
      </c>
      <c r="I115" s="250">
        <f t="shared" si="58"/>
        <v>155</v>
      </c>
      <c r="J115" s="250">
        <f t="shared" si="58"/>
        <v>194</v>
      </c>
      <c r="K115" s="250">
        <f t="shared" si="58"/>
        <v>207</v>
      </c>
      <c r="L115" s="250">
        <f t="shared" si="58"/>
        <v>190</v>
      </c>
      <c r="M115" s="250">
        <f t="shared" si="58"/>
        <v>209</v>
      </c>
      <c r="N115" s="250">
        <f t="shared" si="58"/>
        <v>170</v>
      </c>
      <c r="O115" s="421">
        <f t="shared" si="58"/>
        <v>222</v>
      </c>
      <c r="P115" s="421">
        <f t="shared" si="58"/>
        <v>209</v>
      </c>
      <c r="Q115" s="481">
        <f t="shared" si="58"/>
        <v>213</v>
      </c>
      <c r="R115" s="481">
        <f t="shared" si="58"/>
        <v>225</v>
      </c>
      <c r="S115" s="481">
        <f t="shared" si="58"/>
        <v>245</v>
      </c>
      <c r="T115" s="481">
        <f t="shared" si="58"/>
        <v>281</v>
      </c>
      <c r="U115" s="300">
        <f t="shared" si="58"/>
        <v>258</v>
      </c>
      <c r="V115" s="250">
        <f t="shared" si="58"/>
        <v>262</v>
      </c>
      <c r="W115" s="250">
        <f t="shared" si="58"/>
        <v>271</v>
      </c>
      <c r="X115" s="250">
        <f t="shared" si="58"/>
        <v>308</v>
      </c>
      <c r="Y115" s="250">
        <f t="shared" si="58"/>
        <v>323</v>
      </c>
      <c r="Z115" s="250">
        <f t="shared" si="58"/>
        <v>323</v>
      </c>
      <c r="AA115" s="250">
        <f>+AA81+AA82+AA86+AA92+AA94+AA95+AA98+AA99+AA100+AA105+AA106+AA107+AA108+AA102+AA89</f>
        <v>324</v>
      </c>
      <c r="AB115" s="250">
        <f>+AB81+AB82+AB86+AB92+AB94+AB95+AB98+AB99+AB100+AB105+AB106+AB107+AB108+AB102+AB89</f>
        <v>349</v>
      </c>
      <c r="AC115" s="250">
        <f>+AC81+AC82+AC86+AC92+AC94+AC95+AC98+AC99+AC100+AC105+AC106+AC107+AC108+AC102+AC89</f>
        <v>331</v>
      </c>
      <c r="AD115" s="264">
        <f>+AD81+AD82+AD86+AD92+AD94+AD95+AD98+AD99+AD100+AD105+AD106+AD107+AD108+AD102+AD89</f>
        <v>287</v>
      </c>
      <c r="AE115" s="252">
        <f t="shared" si="54"/>
        <v>-0.13293051359516617</v>
      </c>
      <c r="AF115" s="339">
        <f t="shared" si="55"/>
        <v>-0.11145510835913312</v>
      </c>
      <c r="AG115" s="252">
        <f t="shared" si="56"/>
        <v>2.1352313167259787E-2</v>
      </c>
      <c r="AH115" s="367">
        <f t="shared" si="57"/>
        <v>322.33333333333331</v>
      </c>
    </row>
    <row r="116" spans="1:42" x14ac:dyDescent="0.2">
      <c r="A116" s="248" t="s">
        <v>112</v>
      </c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421"/>
      <c r="P116" s="421"/>
      <c r="Q116" s="481"/>
      <c r="R116" s="481">
        <v>0</v>
      </c>
      <c r="S116" s="481">
        <f t="shared" ref="S116:AB116" si="59">+S111+S109</f>
        <v>0</v>
      </c>
      <c r="T116" s="481">
        <f t="shared" si="59"/>
        <v>0</v>
      </c>
      <c r="U116" s="300">
        <f t="shared" si="59"/>
        <v>0</v>
      </c>
      <c r="V116" s="250">
        <f t="shared" si="59"/>
        <v>0</v>
      </c>
      <c r="W116" s="250">
        <f t="shared" si="59"/>
        <v>0</v>
      </c>
      <c r="X116" s="250">
        <f t="shared" si="59"/>
        <v>0</v>
      </c>
      <c r="Y116" s="250">
        <f t="shared" si="59"/>
        <v>0</v>
      </c>
      <c r="Z116" s="250">
        <f t="shared" si="59"/>
        <v>1</v>
      </c>
      <c r="AA116" s="250">
        <f t="shared" si="59"/>
        <v>2</v>
      </c>
      <c r="AB116" s="250">
        <f t="shared" si="59"/>
        <v>12</v>
      </c>
      <c r="AC116" s="250">
        <f>+AC111+AC109</f>
        <v>5</v>
      </c>
      <c r="AD116" s="264">
        <f>+AD111+AD109</f>
        <v>3</v>
      </c>
      <c r="AE116" s="252" t="str">
        <f t="shared" si="54"/>
        <v xml:space="preserve"> </v>
      </c>
      <c r="AF116" s="339" t="str">
        <f t="shared" si="55"/>
        <v xml:space="preserve"> </v>
      </c>
      <c r="AG116" s="252" t="str">
        <f t="shared" si="56"/>
        <v xml:space="preserve"> </v>
      </c>
      <c r="AH116" s="367">
        <f t="shared" si="57"/>
        <v>6.666666666666667</v>
      </c>
    </row>
    <row r="117" spans="1:42" ht="12" customHeight="1" x14ac:dyDescent="0.2">
      <c r="A117" s="248" t="s">
        <v>113</v>
      </c>
      <c r="B117" s="250">
        <f t="shared" ref="B117:AB117" si="60">+B87+B104</f>
        <v>0</v>
      </c>
      <c r="C117" s="250">
        <f t="shared" si="60"/>
        <v>0</v>
      </c>
      <c r="D117" s="250">
        <f t="shared" si="60"/>
        <v>0</v>
      </c>
      <c r="E117" s="250">
        <f t="shared" si="60"/>
        <v>0</v>
      </c>
      <c r="F117" s="250">
        <f t="shared" si="60"/>
        <v>0</v>
      </c>
      <c r="G117" s="250">
        <f t="shared" si="60"/>
        <v>0</v>
      </c>
      <c r="H117" s="250">
        <f t="shared" si="60"/>
        <v>0</v>
      </c>
      <c r="I117" s="250">
        <f t="shared" si="60"/>
        <v>0</v>
      </c>
      <c r="J117" s="250">
        <f t="shared" si="60"/>
        <v>0</v>
      </c>
      <c r="K117" s="250">
        <f t="shared" si="60"/>
        <v>0</v>
      </c>
      <c r="L117" s="250">
        <f t="shared" si="60"/>
        <v>0</v>
      </c>
      <c r="M117" s="250">
        <f t="shared" si="60"/>
        <v>0</v>
      </c>
      <c r="N117" s="250">
        <f t="shared" si="60"/>
        <v>0</v>
      </c>
      <c r="O117" s="421">
        <f t="shared" si="60"/>
        <v>0</v>
      </c>
      <c r="P117" s="421">
        <f t="shared" si="60"/>
        <v>0</v>
      </c>
      <c r="Q117" s="481">
        <f t="shared" si="60"/>
        <v>0</v>
      </c>
      <c r="R117" s="481">
        <f t="shared" si="60"/>
        <v>0</v>
      </c>
      <c r="S117" s="481">
        <f t="shared" si="60"/>
        <v>0</v>
      </c>
      <c r="T117" s="481">
        <f t="shared" si="60"/>
        <v>0</v>
      </c>
      <c r="U117" s="300">
        <f t="shared" si="60"/>
        <v>0</v>
      </c>
      <c r="V117" s="250">
        <f t="shared" si="60"/>
        <v>8</v>
      </c>
      <c r="W117" s="250">
        <f t="shared" si="60"/>
        <v>0</v>
      </c>
      <c r="X117" s="250">
        <f t="shared" si="60"/>
        <v>1</v>
      </c>
      <c r="Y117" s="250">
        <f t="shared" si="60"/>
        <v>13</v>
      </c>
      <c r="Z117" s="250">
        <f t="shared" si="60"/>
        <v>7</v>
      </c>
      <c r="AA117" s="250">
        <f t="shared" si="60"/>
        <v>15</v>
      </c>
      <c r="AB117" s="250">
        <f t="shared" si="60"/>
        <v>9</v>
      </c>
      <c r="AC117" s="250">
        <f>+AC87+AC104</f>
        <v>18</v>
      </c>
      <c r="AD117" s="264">
        <f>+AD87+AD104</f>
        <v>13</v>
      </c>
      <c r="AE117" s="252" t="str">
        <f t="shared" si="54"/>
        <v xml:space="preserve"> </v>
      </c>
      <c r="AF117" s="339" t="str">
        <f t="shared" si="55"/>
        <v xml:space="preserve"> </v>
      </c>
      <c r="AG117" s="252" t="str">
        <f t="shared" si="56"/>
        <v xml:space="preserve"> </v>
      </c>
      <c r="AH117" s="367">
        <f t="shared" si="57"/>
        <v>13.333333333333334</v>
      </c>
    </row>
    <row r="118" spans="1:42" ht="13.5" thickBot="1" x14ac:dyDescent="0.25">
      <c r="A118" s="196" t="s">
        <v>115</v>
      </c>
      <c r="B118" s="265">
        <f t="shared" ref="B118:AD118" si="61">+B117+B116+B114+B115</f>
        <v>138</v>
      </c>
      <c r="C118" s="265">
        <f t="shared" si="61"/>
        <v>137</v>
      </c>
      <c r="D118" s="265">
        <f t="shared" si="61"/>
        <v>158</v>
      </c>
      <c r="E118" s="265">
        <f t="shared" si="61"/>
        <v>163</v>
      </c>
      <c r="F118" s="265">
        <f t="shared" si="61"/>
        <v>178</v>
      </c>
      <c r="G118" s="265">
        <f t="shared" si="61"/>
        <v>142</v>
      </c>
      <c r="H118" s="265">
        <f t="shared" si="61"/>
        <v>136</v>
      </c>
      <c r="I118" s="265">
        <f t="shared" si="61"/>
        <v>155</v>
      </c>
      <c r="J118" s="265">
        <f t="shared" si="61"/>
        <v>194</v>
      </c>
      <c r="K118" s="265">
        <f t="shared" si="61"/>
        <v>207</v>
      </c>
      <c r="L118" s="265">
        <f t="shared" si="61"/>
        <v>190</v>
      </c>
      <c r="M118" s="265">
        <f t="shared" si="61"/>
        <v>209</v>
      </c>
      <c r="N118" s="265">
        <f t="shared" si="61"/>
        <v>170</v>
      </c>
      <c r="O118" s="406">
        <f t="shared" si="61"/>
        <v>222</v>
      </c>
      <c r="P118" s="406">
        <f t="shared" si="61"/>
        <v>217</v>
      </c>
      <c r="Q118" s="467">
        <f t="shared" si="61"/>
        <v>220</v>
      </c>
      <c r="R118" s="467">
        <f t="shared" si="61"/>
        <v>233</v>
      </c>
      <c r="S118" s="467">
        <f t="shared" si="61"/>
        <v>253</v>
      </c>
      <c r="T118" s="467">
        <f t="shared" si="61"/>
        <v>297</v>
      </c>
      <c r="U118" s="291">
        <f t="shared" si="61"/>
        <v>271</v>
      </c>
      <c r="V118" s="60">
        <f t="shared" si="61"/>
        <v>278</v>
      </c>
      <c r="W118" s="60">
        <f t="shared" si="61"/>
        <v>272</v>
      </c>
      <c r="X118" s="60">
        <f t="shared" si="61"/>
        <v>314</v>
      </c>
      <c r="Y118" s="60">
        <f t="shared" si="61"/>
        <v>357</v>
      </c>
      <c r="Z118" s="60">
        <f t="shared" si="61"/>
        <v>341</v>
      </c>
      <c r="AA118" s="60">
        <f t="shared" si="61"/>
        <v>351</v>
      </c>
      <c r="AB118" s="60">
        <f t="shared" si="61"/>
        <v>373</v>
      </c>
      <c r="AC118" s="60">
        <f t="shared" si="61"/>
        <v>366</v>
      </c>
      <c r="AD118" s="265">
        <f t="shared" si="61"/>
        <v>303</v>
      </c>
      <c r="AE118" s="336">
        <f t="shared" si="54"/>
        <v>-0.1721311475409836</v>
      </c>
      <c r="AF118" s="332">
        <f t="shared" si="55"/>
        <v>-0.15126050420168066</v>
      </c>
      <c r="AG118" s="337">
        <f t="shared" si="56"/>
        <v>2.0202020202020204E-2</v>
      </c>
      <c r="AH118" s="60">
        <f t="shared" si="57"/>
        <v>347.33333333333331</v>
      </c>
    </row>
    <row r="119" spans="1:42" ht="13.5" thickTop="1" thickBot="1" x14ac:dyDescent="0.25">
      <c r="AE119" s="29"/>
    </row>
    <row r="120" spans="1:42" ht="15" customHeight="1" thickTop="1" thickBot="1" x14ac:dyDescent="0.25">
      <c r="A120" s="253" t="s">
        <v>116</v>
      </c>
      <c r="B120" s="254">
        <f>+B118+B72</f>
        <v>1229</v>
      </c>
      <c r="C120" s="254">
        <f t="shared" ref="C120:AD120" si="62">+C118+C72</f>
        <v>1297</v>
      </c>
      <c r="D120" s="254">
        <f t="shared" si="62"/>
        <v>1359</v>
      </c>
      <c r="E120" s="254">
        <f t="shared" si="62"/>
        <v>1423</v>
      </c>
      <c r="F120" s="254">
        <f t="shared" si="62"/>
        <v>1347</v>
      </c>
      <c r="G120" s="254">
        <f t="shared" si="62"/>
        <v>1198</v>
      </c>
      <c r="H120" s="254">
        <f t="shared" si="62"/>
        <v>1421</v>
      </c>
      <c r="I120" s="254">
        <f t="shared" si="62"/>
        <v>1438</v>
      </c>
      <c r="J120" s="254">
        <f t="shared" si="62"/>
        <v>1558</v>
      </c>
      <c r="K120" s="254">
        <f t="shared" si="62"/>
        <v>1508</v>
      </c>
      <c r="L120" s="254">
        <f t="shared" si="62"/>
        <v>1503</v>
      </c>
      <c r="M120" s="254">
        <f t="shared" si="62"/>
        <v>1610</v>
      </c>
      <c r="N120" s="254">
        <f t="shared" si="62"/>
        <v>1609</v>
      </c>
      <c r="O120" s="422">
        <f t="shared" si="62"/>
        <v>1775</v>
      </c>
      <c r="P120" s="422">
        <f t="shared" si="62"/>
        <v>1825</v>
      </c>
      <c r="Q120" s="482">
        <f t="shared" si="62"/>
        <v>1881</v>
      </c>
      <c r="R120" s="482">
        <f t="shared" si="62"/>
        <v>1942</v>
      </c>
      <c r="S120" s="482">
        <f t="shared" si="62"/>
        <v>2040</v>
      </c>
      <c r="T120" s="482">
        <f t="shared" si="62"/>
        <v>2169</v>
      </c>
      <c r="U120" s="301">
        <f t="shared" si="62"/>
        <v>2170</v>
      </c>
      <c r="V120" s="254">
        <f t="shared" si="62"/>
        <v>2213</v>
      </c>
      <c r="W120" s="254">
        <f t="shared" si="62"/>
        <v>2239</v>
      </c>
      <c r="X120" s="254">
        <f t="shared" si="62"/>
        <v>2340</v>
      </c>
      <c r="Y120" s="254">
        <f t="shared" si="62"/>
        <v>2229</v>
      </c>
      <c r="Z120" s="254">
        <f t="shared" si="62"/>
        <v>2146</v>
      </c>
      <c r="AA120" s="254">
        <f t="shared" si="62"/>
        <v>2258</v>
      </c>
      <c r="AB120" s="254">
        <f>+AB118+AB72</f>
        <v>2215</v>
      </c>
      <c r="AC120" s="254">
        <f t="shared" ref="AC120" si="63">+AC118+AC72</f>
        <v>2030</v>
      </c>
      <c r="AD120" s="266">
        <f t="shared" si="62"/>
        <v>1908</v>
      </c>
      <c r="AE120" s="369">
        <f t="shared" ref="AE120" si="64">IF(AD120=0," ",IF(AH120&gt;20,(AD120-AC120)/AC120," "))</f>
        <v>-6.0098522167487685E-2</v>
      </c>
      <c r="AF120" s="333">
        <f t="shared" ref="AF120" si="65">IF(AD120=0," ",IF(AH120&gt;20,(AD120-Y120)/Y120," "))</f>
        <v>-0.14401076716016151</v>
      </c>
      <c r="AG120" s="370">
        <f t="shared" ref="AG120" si="66">IF(AD120=0," ",(IF(AH120&gt;20,(AD120-T120)/T120," ")))</f>
        <v>-0.12033195020746888</v>
      </c>
      <c r="AH120" s="372">
        <f t="shared" ref="AH120" si="67">IF(AB120&gt;0,AVERAGE(AB120:AD120),"  ")</f>
        <v>2051</v>
      </c>
      <c r="AI120" s="255"/>
      <c r="AK120"/>
      <c r="AL120"/>
      <c r="AM120"/>
      <c r="AN120"/>
      <c r="AO120"/>
      <c r="AP120"/>
    </row>
    <row r="121" spans="1:42" ht="15" customHeight="1" thickTop="1" x14ac:dyDescent="0.2">
      <c r="AI121" s="255"/>
      <c r="AK121"/>
      <c r="AL121"/>
      <c r="AM121"/>
      <c r="AN121"/>
      <c r="AO121"/>
      <c r="AP121"/>
    </row>
    <row r="122" spans="1:42" ht="12.75" thickBot="1" x14ac:dyDescent="0.25"/>
    <row r="123" spans="1:42" ht="12.75" thickTop="1" x14ac:dyDescent="0.2">
      <c r="A123" s="425" t="s">
        <v>130</v>
      </c>
      <c r="B123" s="426"/>
      <c r="C123" s="426"/>
      <c r="D123" s="427"/>
      <c r="E123" s="427"/>
      <c r="F123" s="426"/>
      <c r="G123" s="426"/>
      <c r="H123" s="428"/>
      <c r="I123" s="428"/>
      <c r="J123" s="428"/>
      <c r="K123" s="428"/>
      <c r="L123" s="429"/>
      <c r="M123" s="428"/>
      <c r="N123" s="428"/>
      <c r="O123" s="430"/>
      <c r="P123" s="430"/>
      <c r="Q123" s="430"/>
      <c r="R123" s="430"/>
      <c r="S123" s="430"/>
      <c r="T123" s="430"/>
      <c r="U123" s="430"/>
      <c r="V123" s="430"/>
      <c r="W123" s="430"/>
      <c r="X123" s="430"/>
      <c r="Y123" s="430"/>
      <c r="Z123" s="431"/>
      <c r="AA123" s="431"/>
      <c r="AB123" s="431"/>
      <c r="AC123" s="431"/>
      <c r="AD123" s="431"/>
      <c r="AE123" s="431"/>
      <c r="AF123" s="432"/>
      <c r="AG123" s="431"/>
      <c r="AH123" s="433"/>
    </row>
    <row r="124" spans="1:42" ht="12.75" thickBot="1" x14ac:dyDescent="0.25">
      <c r="A124" s="441" t="s">
        <v>131</v>
      </c>
      <c r="B124" s="434"/>
      <c r="C124" s="434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5"/>
      <c r="P124" s="435"/>
      <c r="Q124" s="483"/>
      <c r="R124" s="483">
        <v>0</v>
      </c>
      <c r="S124" s="483"/>
      <c r="T124" s="483"/>
      <c r="U124" s="436"/>
      <c r="V124" s="434"/>
      <c r="W124" s="434"/>
      <c r="X124" s="434"/>
      <c r="Y124" s="434">
        <v>1</v>
      </c>
      <c r="Z124" s="434">
        <v>9</v>
      </c>
      <c r="AA124" s="434">
        <v>4</v>
      </c>
      <c r="AB124" s="434">
        <v>17</v>
      </c>
      <c r="AC124" s="434">
        <v>10</v>
      </c>
      <c r="AD124" s="437">
        <v>14</v>
      </c>
      <c r="AE124" s="438" t="str">
        <f t="shared" ref="AE124" si="68">IF(AD124=0," ",IF(AH124&gt;20,(AD124-AC124)/AC124," "))</f>
        <v xml:space="preserve"> </v>
      </c>
      <c r="AF124" s="439" t="str">
        <f t="shared" ref="AF124" si="69">IF(AD124=0," ",IF(AH124&gt;20,(AD124-Y124)/Y124," "))</f>
        <v xml:space="preserve"> </v>
      </c>
      <c r="AG124" s="438" t="str">
        <f t="shared" ref="AG124" si="70">IF(AD124=0," ",(IF(AH124&gt;20,(AD124-T124)/T124," ")))</f>
        <v xml:space="preserve"> </v>
      </c>
      <c r="AH124" s="440">
        <f t="shared" ref="AH124" si="71">IF(AB124&gt;0,AVERAGE(AB124:AD124),"  ")</f>
        <v>13.666666666666666</v>
      </c>
    </row>
    <row r="125" spans="1:42" ht="12.75" thickTop="1" x14ac:dyDescent="0.2">
      <c r="T125" s="23"/>
      <c r="U125" s="23"/>
      <c r="V125" s="23"/>
      <c r="W125" s="23"/>
      <c r="X125" s="23"/>
      <c r="Y125" s="2"/>
      <c r="Z125" s="442"/>
      <c r="AA125" s="442"/>
      <c r="AB125" s="442"/>
      <c r="AC125" s="442"/>
      <c r="AD125" s="442"/>
      <c r="AE125" s="19"/>
      <c r="AF125" s="19"/>
      <c r="AG125" s="20"/>
    </row>
    <row r="126" spans="1:42" ht="12.75" thickBot="1" x14ac:dyDescent="0.25">
      <c r="T126" s="23"/>
      <c r="U126" s="23"/>
      <c r="V126" s="23"/>
      <c r="W126" s="23"/>
      <c r="X126" s="23"/>
      <c r="Y126" s="2"/>
      <c r="Z126" s="2"/>
      <c r="AA126" s="2"/>
      <c r="AB126" s="2"/>
      <c r="AC126" s="2"/>
      <c r="AD126" s="2"/>
      <c r="AE126" s="19"/>
      <c r="AF126" s="19"/>
      <c r="AG126" s="20"/>
    </row>
    <row r="127" spans="1:42" ht="11.25" customHeight="1" x14ac:dyDescent="0.2">
      <c r="P127" s="484"/>
      <c r="Q127" s="485"/>
      <c r="R127" s="485"/>
      <c r="T127" s="173"/>
      <c r="Y127" s="571" t="s">
        <v>157</v>
      </c>
      <c r="Z127" s="572"/>
      <c r="AA127" s="572"/>
      <c r="AB127" s="572"/>
      <c r="AC127" s="572"/>
      <c r="AD127" s="572"/>
      <c r="AE127" s="572"/>
      <c r="AF127" s="573"/>
      <c r="AG127" s="562" t="s">
        <v>65</v>
      </c>
      <c r="AH127" s="564"/>
      <c r="AK127"/>
      <c r="AL127"/>
      <c r="AM127"/>
      <c r="AN127"/>
      <c r="AO127"/>
      <c r="AP127"/>
    </row>
    <row r="128" spans="1:42" x14ac:dyDescent="0.2">
      <c r="P128" s="484"/>
      <c r="Q128" s="485"/>
      <c r="R128" s="485"/>
      <c r="Y128" s="559" t="s">
        <v>64</v>
      </c>
      <c r="Z128" s="560"/>
      <c r="AA128" s="561"/>
      <c r="AB128" s="592" t="s">
        <v>154</v>
      </c>
      <c r="AC128" s="593"/>
      <c r="AD128" s="593"/>
      <c r="AE128" s="593"/>
      <c r="AF128" s="594"/>
      <c r="AG128" s="565"/>
      <c r="AH128" s="567"/>
      <c r="AK128"/>
      <c r="AL128"/>
      <c r="AM128"/>
      <c r="AN128"/>
      <c r="AO128"/>
      <c r="AP128"/>
    </row>
    <row r="129" spans="16:42" x14ac:dyDescent="0.2">
      <c r="P129" s="484"/>
      <c r="Q129" s="485"/>
      <c r="R129" s="485"/>
      <c r="Y129" s="518" t="s">
        <v>141</v>
      </c>
      <c r="Z129" s="519"/>
      <c r="AA129" s="520"/>
      <c r="AB129" s="521" t="s">
        <v>2</v>
      </c>
      <c r="AC129" s="522"/>
      <c r="AD129" s="522" t="s">
        <v>33</v>
      </c>
      <c r="AE129" s="523"/>
      <c r="AF129" s="523"/>
      <c r="AG129" s="524" t="s">
        <v>59</v>
      </c>
      <c r="AH129" s="525"/>
      <c r="AK129"/>
      <c r="AL129"/>
      <c r="AM129"/>
      <c r="AN129"/>
      <c r="AO129"/>
      <c r="AP129"/>
    </row>
    <row r="130" spans="16:42" x14ac:dyDescent="0.2">
      <c r="P130" s="484"/>
      <c r="Q130" s="485"/>
      <c r="R130" s="485"/>
      <c r="Y130" s="518" t="s">
        <v>12</v>
      </c>
      <c r="Z130" s="519"/>
      <c r="AA130" s="520"/>
      <c r="AB130" s="526" t="s">
        <v>59</v>
      </c>
      <c r="AC130" s="527"/>
      <c r="AD130" s="527" t="s">
        <v>140</v>
      </c>
      <c r="AE130" s="528"/>
      <c r="AF130" s="528"/>
      <c r="AG130" s="526" t="s">
        <v>14</v>
      </c>
      <c r="AH130" s="525"/>
      <c r="AK130"/>
      <c r="AL130"/>
      <c r="AM130"/>
      <c r="AN130"/>
      <c r="AO130"/>
      <c r="AP130"/>
    </row>
    <row r="131" spans="16:42" ht="11.25" customHeight="1" x14ac:dyDescent="0.2">
      <c r="P131" s="484"/>
      <c r="Q131" s="485"/>
      <c r="R131" s="485"/>
      <c r="Y131" s="518" t="s">
        <v>28</v>
      </c>
      <c r="Z131" s="519"/>
      <c r="AA131" s="520"/>
      <c r="AB131" s="529" t="s">
        <v>152</v>
      </c>
      <c r="AC131" s="530"/>
      <c r="AD131" s="530" t="s">
        <v>135</v>
      </c>
      <c r="AE131" s="531"/>
      <c r="AF131" s="531"/>
      <c r="AG131" s="529" t="s">
        <v>24</v>
      </c>
      <c r="AH131" s="525"/>
      <c r="AK131"/>
      <c r="AL131"/>
      <c r="AM131"/>
      <c r="AN131"/>
      <c r="AO131"/>
      <c r="AP131"/>
    </row>
    <row r="132" spans="16:42" x14ac:dyDescent="0.2">
      <c r="P132" s="484"/>
      <c r="Q132" s="485"/>
      <c r="R132" s="485"/>
      <c r="Y132" s="518" t="s">
        <v>30</v>
      </c>
      <c r="Z132" s="519"/>
      <c r="AA132" s="520"/>
      <c r="AB132" s="526" t="s">
        <v>153</v>
      </c>
      <c r="AC132" s="527"/>
      <c r="AD132" s="527"/>
      <c r="AE132" s="528"/>
      <c r="AF132" s="528"/>
      <c r="AG132" s="529" t="s">
        <v>135</v>
      </c>
      <c r="AH132" s="525"/>
      <c r="AK132"/>
      <c r="AL132"/>
      <c r="AM132"/>
      <c r="AN132"/>
      <c r="AO132"/>
      <c r="AP132"/>
    </row>
    <row r="133" spans="16:42" ht="12.75" thickBot="1" x14ac:dyDescent="0.25">
      <c r="P133" s="484"/>
      <c r="Q133" s="485"/>
      <c r="R133" s="485"/>
      <c r="Y133" s="532" t="s">
        <v>146</v>
      </c>
      <c r="Z133" s="533"/>
      <c r="AA133" s="534"/>
      <c r="AB133" s="535" t="s">
        <v>24</v>
      </c>
      <c r="AC133" s="536"/>
      <c r="AD133" s="536"/>
      <c r="AE133" s="537"/>
      <c r="AF133" s="537"/>
      <c r="AG133" s="538"/>
      <c r="AH133" s="539"/>
      <c r="AK133"/>
      <c r="AL133"/>
      <c r="AM133"/>
      <c r="AN133"/>
      <c r="AO133"/>
      <c r="AP133"/>
    </row>
    <row r="134" spans="16:42" x14ac:dyDescent="0.2">
      <c r="P134" s="484"/>
      <c r="Q134" s="485"/>
      <c r="R134" s="485"/>
      <c r="Y134" s="7" t="s">
        <v>36</v>
      </c>
      <c r="Z134" s="5" t="s">
        <v>120</v>
      </c>
      <c r="AA134" s="4"/>
      <c r="AB134" s="14"/>
      <c r="AC134" s="14"/>
      <c r="AD134" s="14"/>
      <c r="AE134" s="14"/>
      <c r="AF134" s="14"/>
      <c r="AG134" s="14"/>
      <c r="AH134" s="14"/>
      <c r="AI134" s="14"/>
      <c r="AO134"/>
      <c r="AP134"/>
    </row>
    <row r="135" spans="16:42" x14ac:dyDescent="0.2">
      <c r="P135" s="484"/>
      <c r="Q135" s="485"/>
      <c r="R135" s="485"/>
      <c r="Y135"/>
      <c r="Z135" s="8" t="s">
        <v>126</v>
      </c>
      <c r="AA135" s="4"/>
      <c r="AB135" s="14"/>
      <c r="AC135" s="14"/>
      <c r="AD135" s="14"/>
      <c r="AE135" s="14"/>
      <c r="AF135" s="14"/>
      <c r="AG135" s="14"/>
      <c r="AH135" s="14"/>
      <c r="AI135" s="14"/>
      <c r="AO135"/>
      <c r="AP135"/>
    </row>
    <row r="136" spans="16:42" x14ac:dyDescent="0.2">
      <c r="Y136"/>
      <c r="Z136" s="9" t="s">
        <v>38</v>
      </c>
      <c r="AA136" s="6"/>
      <c r="AB136" s="15"/>
      <c r="AC136" s="15"/>
      <c r="AD136" s="15"/>
      <c r="AE136" s="15"/>
      <c r="AF136" s="15"/>
      <c r="AG136" s="15"/>
      <c r="AH136" s="15"/>
      <c r="AI136" s="15"/>
      <c r="AO136"/>
      <c r="AP136"/>
    </row>
    <row r="137" spans="16:42" x14ac:dyDescent="0.2">
      <c r="Y137"/>
      <c r="Z137" s="10" t="s">
        <v>39</v>
      </c>
      <c r="AA137"/>
      <c r="AB137" s="16"/>
      <c r="AC137" s="16"/>
      <c r="AD137" s="16"/>
      <c r="AE137" s="16"/>
      <c r="AF137" s="16"/>
      <c r="AG137" s="16"/>
      <c r="AH137" s="16"/>
      <c r="AI137" s="16"/>
      <c r="AO137"/>
      <c r="AP137"/>
    </row>
    <row r="138" spans="16:42" x14ac:dyDescent="0.2">
      <c r="T138"/>
      <c r="U138" s="12"/>
      <c r="V138"/>
      <c r="W138" s="11"/>
      <c r="X138" s="11"/>
    </row>
    <row r="139" spans="16:42" x14ac:dyDescent="0.2">
      <c r="T139" s="373"/>
      <c r="U139" s="373"/>
      <c r="V139" s="373"/>
      <c r="W139" s="373"/>
      <c r="X139" s="373"/>
    </row>
  </sheetData>
  <mergeCells count="19">
    <mergeCell ref="A84:AH84"/>
    <mergeCell ref="Y127:AF127"/>
    <mergeCell ref="AG127:AH128"/>
    <mergeCell ref="Y128:AA128"/>
    <mergeCell ref="AB128:AF128"/>
    <mergeCell ref="A5:AH5"/>
    <mergeCell ref="A6:AH6"/>
    <mergeCell ref="A7:AH7"/>
    <mergeCell ref="A74:AH74"/>
    <mergeCell ref="A76:A77"/>
    <mergeCell ref="AE76:AE77"/>
    <mergeCell ref="AF76:AF77"/>
    <mergeCell ref="AG76:AG77"/>
    <mergeCell ref="A1:AH1"/>
    <mergeCell ref="A3:A4"/>
    <mergeCell ref="AE3:AE4"/>
    <mergeCell ref="AF3:AF4"/>
    <mergeCell ref="AG3:AG4"/>
    <mergeCell ref="AH3:AH4"/>
  </mergeCells>
  <printOptions horizontalCentered="1"/>
  <pageMargins left="0.5" right="0.5" top="0.48" bottom="0.5" header="0.5" footer="0.25"/>
  <pageSetup scale="78" orientation="portrait" r:id="rId1"/>
  <headerFooter alignWithMargins="0">
    <oddFooter>&amp;L&amp;"Times New Roman,Regular"&amp;9Source: MHEC DIS&amp;C&amp;"Times New Roman,Regular"&amp;10C-6.0</oddFooter>
  </headerFooter>
  <rowBreaks count="1" manualBreakCount="1">
    <brk id="73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AF3C-9C16-49E2-A284-7E2CB9DE3D1C}">
  <dimension ref="A1:FS139"/>
  <sheetViews>
    <sheetView showGridLines="0" topLeftCell="A120" zoomScaleNormal="100" workbookViewId="0">
      <selection activeCell="AG129" sqref="AG129:AG131"/>
    </sheetView>
  </sheetViews>
  <sheetFormatPr defaultColWidth="10.6640625" defaultRowHeight="11.25" x14ac:dyDescent="0.2"/>
  <cols>
    <col min="1" max="1" width="45.83203125" style="29" customWidth="1"/>
    <col min="2" max="9" width="7.5" style="29" hidden="1" customWidth="1"/>
    <col min="10" max="10" width="7.5" style="168" hidden="1" customWidth="1"/>
    <col min="11" max="11" width="7.5" style="169" hidden="1" customWidth="1"/>
    <col min="12" max="14" width="7.5" style="170" hidden="1" customWidth="1"/>
    <col min="15" max="15" width="7.5" style="168" hidden="1" customWidth="1"/>
    <col min="16" max="16" width="7.5" style="171" hidden="1" customWidth="1"/>
    <col min="17" max="17" width="7.5" style="172" hidden="1" customWidth="1"/>
    <col min="18" max="18" width="7.33203125" style="172" hidden="1" customWidth="1"/>
    <col min="19" max="19" width="8.33203125" style="173" hidden="1" customWidth="1"/>
    <col min="20" max="20" width="8.33203125" style="172" customWidth="1"/>
    <col min="21" max="24" width="8.33203125" style="172" hidden="1" customWidth="1"/>
    <col min="25" max="30" width="8.33203125" style="172" customWidth="1"/>
    <col min="31" max="31" width="9.33203125" style="172" customWidth="1"/>
    <col min="32" max="34" width="9.33203125" style="29" customWidth="1"/>
    <col min="35" max="39" width="10.6640625" style="29"/>
    <col min="40" max="40" width="10.83203125" style="29" customWidth="1"/>
  </cols>
  <sheetData>
    <row r="1" spans="1:38" ht="15" customHeight="1" x14ac:dyDescent="0.2">
      <c r="A1" s="574" t="s">
        <v>158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</row>
    <row r="2" spans="1:38" ht="15" customHeight="1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2"/>
      <c r="K2" s="122"/>
      <c r="L2" s="123"/>
      <c r="M2" s="123"/>
      <c r="N2" s="123"/>
      <c r="O2" s="122"/>
      <c r="P2" s="124"/>
      <c r="Q2" s="122"/>
      <c r="R2" s="122"/>
      <c r="S2" s="125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1"/>
      <c r="AG2" s="121"/>
      <c r="AH2" s="121"/>
    </row>
    <row r="3" spans="1:38" ht="15" customHeight="1" x14ac:dyDescent="0.2">
      <c r="A3" s="575" t="s">
        <v>79</v>
      </c>
      <c r="B3" s="103"/>
      <c r="C3" s="126"/>
      <c r="D3" s="126"/>
      <c r="E3" s="103"/>
      <c r="F3" s="103"/>
      <c r="G3" s="126"/>
      <c r="H3" s="127"/>
      <c r="I3" s="127"/>
      <c r="J3" s="126"/>
      <c r="K3" s="128"/>
      <c r="L3" s="128"/>
      <c r="M3" s="128"/>
      <c r="N3" s="127"/>
      <c r="O3" s="383"/>
      <c r="P3" s="447"/>
      <c r="Q3" s="452"/>
      <c r="R3" s="452"/>
      <c r="S3" s="510"/>
      <c r="T3" s="452"/>
      <c r="U3" s="396"/>
      <c r="V3" s="131"/>
      <c r="W3" s="130"/>
      <c r="X3" s="129"/>
      <c r="Y3" s="129"/>
      <c r="Z3" s="130"/>
      <c r="AA3" s="130"/>
      <c r="AB3" s="131"/>
      <c r="AC3" s="130"/>
      <c r="AD3" s="132"/>
      <c r="AE3" s="586" t="s">
        <v>117</v>
      </c>
      <c r="AF3" s="588" t="s">
        <v>118</v>
      </c>
      <c r="AG3" s="586" t="s">
        <v>119</v>
      </c>
      <c r="AH3" s="590" t="s">
        <v>148</v>
      </c>
    </row>
    <row r="4" spans="1:38" ht="15" customHeight="1" x14ac:dyDescent="0.2">
      <c r="A4" s="576"/>
      <c r="B4" s="104" t="s">
        <v>97</v>
      </c>
      <c r="C4" s="105" t="s">
        <v>41</v>
      </c>
      <c r="D4" s="104" t="s">
        <v>51</v>
      </c>
      <c r="E4" s="105" t="s">
        <v>52</v>
      </c>
      <c r="F4" s="105" t="s">
        <v>53</v>
      </c>
      <c r="G4" s="104" t="s">
        <v>54</v>
      </c>
      <c r="H4" s="106" t="s">
        <v>55</v>
      </c>
      <c r="I4" s="107" t="s">
        <v>43</v>
      </c>
      <c r="J4" s="108" t="s">
        <v>44</v>
      </c>
      <c r="K4" s="108" t="s">
        <v>45</v>
      </c>
      <c r="L4" s="108" t="s">
        <v>46</v>
      </c>
      <c r="M4" s="108" t="s">
        <v>42</v>
      </c>
      <c r="N4" s="107" t="s">
        <v>56</v>
      </c>
      <c r="O4" s="384" t="s">
        <v>57</v>
      </c>
      <c r="P4" s="384" t="s">
        <v>60</v>
      </c>
      <c r="Q4" s="453" t="s">
        <v>63</v>
      </c>
      <c r="R4" s="453" t="s">
        <v>67</v>
      </c>
      <c r="S4" s="511" t="s">
        <v>68</v>
      </c>
      <c r="T4" s="543" t="s">
        <v>71</v>
      </c>
      <c r="U4" s="500" t="s">
        <v>72</v>
      </c>
      <c r="V4" s="24" t="s">
        <v>73</v>
      </c>
      <c r="W4" s="24" t="s">
        <v>74</v>
      </c>
      <c r="X4" s="109" t="s">
        <v>76</v>
      </c>
      <c r="Y4" s="109" t="s">
        <v>78</v>
      </c>
      <c r="Z4" s="24" t="s">
        <v>127</v>
      </c>
      <c r="AA4" s="24" t="s">
        <v>133</v>
      </c>
      <c r="AB4" s="24" t="s">
        <v>136</v>
      </c>
      <c r="AC4" s="24" t="s">
        <v>143</v>
      </c>
      <c r="AD4" s="110" t="s">
        <v>156</v>
      </c>
      <c r="AE4" s="587"/>
      <c r="AF4" s="589"/>
      <c r="AG4" s="587"/>
      <c r="AH4" s="591"/>
    </row>
    <row r="5" spans="1:38" ht="15" customHeight="1" x14ac:dyDescent="0.2">
      <c r="A5" s="580" t="s">
        <v>80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2"/>
    </row>
    <row r="6" spans="1:38" ht="15" customHeight="1" x14ac:dyDescent="0.2">
      <c r="A6" s="577" t="s">
        <v>81</v>
      </c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9"/>
      <c r="AJ6" s="558" t="s">
        <v>166</v>
      </c>
    </row>
    <row r="7" spans="1:38" ht="15" customHeight="1" x14ac:dyDescent="0.2">
      <c r="A7" s="583" t="s">
        <v>82</v>
      </c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584"/>
      <c r="AB7" s="584"/>
      <c r="AC7" s="584"/>
      <c r="AD7" s="584"/>
      <c r="AE7" s="584"/>
      <c r="AF7" s="584"/>
      <c r="AG7" s="584"/>
      <c r="AH7" s="585"/>
      <c r="AJ7" s="517" t="s">
        <v>149</v>
      </c>
      <c r="AK7" s="517" t="s">
        <v>155</v>
      </c>
    </row>
    <row r="8" spans="1:38" ht="15" customHeight="1" x14ac:dyDescent="0.25">
      <c r="A8" s="486" t="s">
        <v>121</v>
      </c>
      <c r="B8" s="174"/>
      <c r="C8" s="174"/>
      <c r="D8" s="174"/>
      <c r="E8" s="174"/>
      <c r="F8" s="174"/>
      <c r="G8" s="174"/>
      <c r="H8" s="157"/>
      <c r="I8" s="157">
        <v>8</v>
      </c>
      <c r="J8" s="174">
        <v>9</v>
      </c>
      <c r="K8" s="174">
        <v>3</v>
      </c>
      <c r="L8" s="174">
        <v>7</v>
      </c>
      <c r="M8" s="174">
        <v>9</v>
      </c>
      <c r="N8" s="157">
        <v>11</v>
      </c>
      <c r="O8" s="385">
        <v>6</v>
      </c>
      <c r="P8" s="385">
        <v>10</v>
      </c>
      <c r="Q8" s="460">
        <v>10</v>
      </c>
      <c r="R8" s="460">
        <v>9</v>
      </c>
      <c r="S8" s="503">
        <v>6</v>
      </c>
      <c r="T8" s="460">
        <v>7</v>
      </c>
      <c r="U8" s="401">
        <v>6</v>
      </c>
      <c r="V8" s="156">
        <v>11</v>
      </c>
      <c r="W8" s="156">
        <v>10</v>
      </c>
      <c r="X8" s="157">
        <v>7</v>
      </c>
      <c r="Y8" s="157">
        <v>0</v>
      </c>
      <c r="Z8" s="156">
        <v>0</v>
      </c>
      <c r="AA8" s="156">
        <v>0</v>
      </c>
      <c r="AB8" s="156">
        <v>0</v>
      </c>
      <c r="AC8" s="156">
        <v>0</v>
      </c>
      <c r="AD8" s="175">
        <v>0</v>
      </c>
      <c r="AE8" s="487" t="str">
        <f>IF(AD8=0," ",IF(AH8&gt;20,(AD8-AC8)/AC8," "))</f>
        <v xml:space="preserve"> </v>
      </c>
      <c r="AF8" s="488" t="str">
        <f>IF(AD8=0," ",IF(AH8&gt;20,(AD8-Y8)/Y8," "))</f>
        <v xml:space="preserve"> </v>
      </c>
      <c r="AG8" s="489" t="str">
        <f>IF(AD8=0," ",(IF(AH8&gt;20,(AD8-T8)/T8," ")))</f>
        <v xml:space="preserve"> </v>
      </c>
      <c r="AH8" s="365" t="str">
        <f>IF(AB8&gt;0,AVERAGE(AB8:AD8),"  ")</f>
        <v xml:space="preserve">  </v>
      </c>
      <c r="AJ8" s="515" t="str">
        <f>IF(AD8&lt;5,"Yes","No")</f>
        <v>Yes</v>
      </c>
      <c r="AK8" s="515" t="str">
        <f t="shared" ref="AK8:AK15" si="0">IF((AB8+AC8+AD8)&lt;15,"Yes","No")</f>
        <v>Yes</v>
      </c>
      <c r="AL8" s="514" t="s">
        <v>151</v>
      </c>
    </row>
    <row r="9" spans="1:38" ht="15" customHeight="1" x14ac:dyDescent="0.2">
      <c r="A9" s="31" t="s">
        <v>12</v>
      </c>
      <c r="B9" s="133"/>
      <c r="C9" s="133"/>
      <c r="D9" s="133"/>
      <c r="E9" s="133"/>
      <c r="F9" s="133"/>
      <c r="G9" s="133"/>
      <c r="H9" s="22"/>
      <c r="I9" s="22"/>
      <c r="J9" s="133">
        <v>19</v>
      </c>
      <c r="K9" s="133">
        <v>18</v>
      </c>
      <c r="L9" s="133">
        <v>33</v>
      </c>
      <c r="M9" s="133">
        <v>43</v>
      </c>
      <c r="N9" s="22">
        <v>45</v>
      </c>
      <c r="O9" s="386">
        <v>68</v>
      </c>
      <c r="P9" s="386">
        <v>49</v>
      </c>
      <c r="Q9" s="454">
        <v>81</v>
      </c>
      <c r="R9" s="454">
        <v>90</v>
      </c>
      <c r="S9" s="504">
        <v>102</v>
      </c>
      <c r="T9" s="454">
        <v>110</v>
      </c>
      <c r="U9" s="397">
        <f>143+1</f>
        <v>144</v>
      </c>
      <c r="V9" s="134">
        <v>139</v>
      </c>
      <c r="W9" s="134">
        <v>128</v>
      </c>
      <c r="X9" s="22">
        <v>171</v>
      </c>
      <c r="Y9" s="22">
        <v>147</v>
      </c>
      <c r="Z9" s="134">
        <v>126</v>
      </c>
      <c r="AA9" s="134">
        <v>134</v>
      </c>
      <c r="AB9" s="134">
        <v>111</v>
      </c>
      <c r="AC9" s="134">
        <v>145</v>
      </c>
      <c r="AD9" s="135">
        <v>114</v>
      </c>
      <c r="AE9" s="343">
        <f t="shared" ref="AE9:AE16" si="1">IF(AD9=0," ",IF(AH9&gt;20,(AD9-AC9)/AC9," "))</f>
        <v>-0.21379310344827587</v>
      </c>
      <c r="AF9" s="344">
        <f t="shared" ref="AF9:AF16" si="2">IF(AD9=0," ",IF(AH9&gt;20,(AD9-Y9)/Y9," "))</f>
        <v>-0.22448979591836735</v>
      </c>
      <c r="AG9" s="345">
        <f t="shared" ref="AG9:AG16" si="3">IF(AD9=0," ",(IF(AH9&gt;20,(AD9-T9)/T9," ")))</f>
        <v>3.6363636363636362E-2</v>
      </c>
      <c r="AH9" s="211">
        <f t="shared" ref="AH9:AH16" si="4">IF(AB9&gt;0,AVERAGE(AB9:AD9),"  ")</f>
        <v>123.33333333333333</v>
      </c>
      <c r="AJ9" s="29" t="str">
        <f t="shared" ref="AJ9:AJ15" si="5">IF(AD9&lt;5,"Yes","No")</f>
        <v>No</v>
      </c>
      <c r="AK9" s="29" t="str">
        <f t="shared" si="0"/>
        <v>No</v>
      </c>
    </row>
    <row r="10" spans="1:38" ht="15" customHeight="1" x14ac:dyDescent="0.2">
      <c r="A10" s="13" t="s">
        <v>77</v>
      </c>
      <c r="B10" s="139">
        <v>11</v>
      </c>
      <c r="C10" s="139">
        <v>15</v>
      </c>
      <c r="D10" s="139">
        <v>6</v>
      </c>
      <c r="E10" s="139">
        <v>9</v>
      </c>
      <c r="F10" s="139">
        <v>11</v>
      </c>
      <c r="G10" s="139">
        <v>9</v>
      </c>
      <c r="H10" s="27">
        <v>5</v>
      </c>
      <c r="I10" s="27">
        <v>10</v>
      </c>
      <c r="J10" s="139">
        <v>7</v>
      </c>
      <c r="K10" s="139">
        <v>7</v>
      </c>
      <c r="L10" s="139">
        <v>8</v>
      </c>
      <c r="M10" s="139">
        <v>6</v>
      </c>
      <c r="N10" s="27">
        <v>9</v>
      </c>
      <c r="O10" s="387">
        <v>9</v>
      </c>
      <c r="P10" s="387">
        <v>12</v>
      </c>
      <c r="Q10" s="455">
        <v>10</v>
      </c>
      <c r="R10" s="455">
        <v>10</v>
      </c>
      <c r="S10" s="505">
        <v>12</v>
      </c>
      <c r="T10" s="455">
        <v>15</v>
      </c>
      <c r="U10" s="398">
        <v>9</v>
      </c>
      <c r="V10" s="140">
        <v>12</v>
      </c>
      <c r="W10" s="140">
        <v>15</v>
      </c>
      <c r="X10" s="27">
        <v>11</v>
      </c>
      <c r="Y10" s="27">
        <v>15</v>
      </c>
      <c r="Z10" s="140">
        <v>13</v>
      </c>
      <c r="AA10" s="140">
        <v>16</v>
      </c>
      <c r="AB10" s="140">
        <v>14</v>
      </c>
      <c r="AC10" s="140">
        <v>11</v>
      </c>
      <c r="AD10" s="141">
        <v>13</v>
      </c>
      <c r="AE10" s="346" t="str">
        <f t="shared" si="1"/>
        <v xml:space="preserve"> </v>
      </c>
      <c r="AF10" s="347" t="str">
        <f t="shared" si="2"/>
        <v xml:space="preserve"> </v>
      </c>
      <c r="AG10" s="348" t="str">
        <f t="shared" si="3"/>
        <v xml:space="preserve"> </v>
      </c>
      <c r="AH10" s="364">
        <f t="shared" si="4"/>
        <v>12.666666666666666</v>
      </c>
      <c r="AJ10" s="29" t="str">
        <f t="shared" si="5"/>
        <v>No</v>
      </c>
      <c r="AK10" s="29" t="str">
        <f t="shared" si="0"/>
        <v>No</v>
      </c>
    </row>
    <row r="11" spans="1:38" ht="15" customHeight="1" x14ac:dyDescent="0.2">
      <c r="A11" s="31" t="s">
        <v>139</v>
      </c>
      <c r="B11" s="133"/>
      <c r="C11" s="133"/>
      <c r="D11" s="133"/>
      <c r="E11" s="133"/>
      <c r="F11" s="133"/>
      <c r="G11" s="133"/>
      <c r="H11" s="22"/>
      <c r="I11" s="22"/>
      <c r="J11" s="133"/>
      <c r="K11" s="133"/>
      <c r="L11" s="133"/>
      <c r="M11" s="133">
        <v>0</v>
      </c>
      <c r="N11" s="22"/>
      <c r="O11" s="386"/>
      <c r="P11" s="386"/>
      <c r="Q11" s="454"/>
      <c r="R11" s="454">
        <v>0</v>
      </c>
      <c r="S11" s="504">
        <v>0</v>
      </c>
      <c r="T11" s="454">
        <v>0</v>
      </c>
      <c r="U11" s="397"/>
      <c r="V11" s="134">
        <v>1</v>
      </c>
      <c r="W11" s="134">
        <v>15</v>
      </c>
      <c r="X11" s="22">
        <v>22</v>
      </c>
      <c r="Y11" s="22">
        <v>34</v>
      </c>
      <c r="Z11" s="134">
        <v>23</v>
      </c>
      <c r="AA11" s="134">
        <v>56</v>
      </c>
      <c r="AB11" s="134">
        <v>42</v>
      </c>
      <c r="AC11" s="134">
        <v>38</v>
      </c>
      <c r="AD11" s="135">
        <v>21</v>
      </c>
      <c r="AE11" s="343">
        <f t="shared" si="1"/>
        <v>-0.44736842105263158</v>
      </c>
      <c r="AF11" s="344">
        <f t="shared" si="2"/>
        <v>-0.38235294117647056</v>
      </c>
      <c r="AG11" s="345"/>
      <c r="AH11" s="211">
        <f t="shared" si="4"/>
        <v>33.666666666666664</v>
      </c>
      <c r="AJ11" s="29" t="str">
        <f t="shared" si="5"/>
        <v>No</v>
      </c>
      <c r="AK11" s="29" t="str">
        <f t="shared" si="0"/>
        <v>No</v>
      </c>
    </row>
    <row r="12" spans="1:38" ht="15" customHeight="1" x14ac:dyDescent="0.2">
      <c r="A12" s="13" t="s">
        <v>29</v>
      </c>
      <c r="B12" s="139">
        <v>14</v>
      </c>
      <c r="C12" s="139">
        <v>21</v>
      </c>
      <c r="D12" s="139">
        <v>19</v>
      </c>
      <c r="E12" s="139">
        <v>18</v>
      </c>
      <c r="F12" s="139">
        <v>17</v>
      </c>
      <c r="G12" s="139">
        <v>14</v>
      </c>
      <c r="H12" s="27">
        <v>7</v>
      </c>
      <c r="I12" s="27">
        <v>11</v>
      </c>
      <c r="J12" s="139">
        <v>7</v>
      </c>
      <c r="K12" s="139">
        <v>11</v>
      </c>
      <c r="L12" s="139">
        <v>10</v>
      </c>
      <c r="M12" s="139">
        <v>15</v>
      </c>
      <c r="N12" s="27">
        <v>24</v>
      </c>
      <c r="O12" s="387">
        <v>23</v>
      </c>
      <c r="P12" s="387">
        <v>27</v>
      </c>
      <c r="Q12" s="455">
        <v>23</v>
      </c>
      <c r="R12" s="455">
        <f>35+1</f>
        <v>36</v>
      </c>
      <c r="S12" s="505">
        <v>23</v>
      </c>
      <c r="T12" s="455">
        <v>31</v>
      </c>
      <c r="U12" s="398">
        <v>37</v>
      </c>
      <c r="V12" s="140">
        <v>37</v>
      </c>
      <c r="W12" s="140">
        <v>36</v>
      </c>
      <c r="X12" s="27">
        <v>29</v>
      </c>
      <c r="Y12" s="27">
        <v>27</v>
      </c>
      <c r="Z12" s="140">
        <v>20</v>
      </c>
      <c r="AA12" s="140">
        <v>22</v>
      </c>
      <c r="AB12" s="140">
        <v>23</v>
      </c>
      <c r="AC12" s="140">
        <v>30</v>
      </c>
      <c r="AD12" s="141">
        <v>30</v>
      </c>
      <c r="AE12" s="346">
        <f t="shared" si="1"/>
        <v>0</v>
      </c>
      <c r="AF12" s="347">
        <f t="shared" si="2"/>
        <v>0.1111111111111111</v>
      </c>
      <c r="AG12" s="348">
        <f t="shared" si="3"/>
        <v>-3.2258064516129031E-2</v>
      </c>
      <c r="AH12" s="364">
        <f t="shared" si="4"/>
        <v>27.666666666666668</v>
      </c>
      <c r="AJ12" s="29" t="str">
        <f t="shared" si="5"/>
        <v>No</v>
      </c>
      <c r="AK12" s="29" t="str">
        <f t="shared" si="0"/>
        <v>No</v>
      </c>
    </row>
    <row r="13" spans="1:38" ht="15" customHeight="1" x14ac:dyDescent="0.2">
      <c r="A13" s="102" t="s">
        <v>83</v>
      </c>
      <c r="B13" s="111">
        <f t="shared" ref="B13:AD13" si="6">SUM(B8:B12)</f>
        <v>25</v>
      </c>
      <c r="C13" s="111">
        <f t="shared" si="6"/>
        <v>36</v>
      </c>
      <c r="D13" s="111">
        <f t="shared" si="6"/>
        <v>25</v>
      </c>
      <c r="E13" s="111">
        <f t="shared" si="6"/>
        <v>27</v>
      </c>
      <c r="F13" s="111">
        <f t="shared" si="6"/>
        <v>28</v>
      </c>
      <c r="G13" s="111">
        <f t="shared" si="6"/>
        <v>23</v>
      </c>
      <c r="H13" s="111">
        <f t="shared" si="6"/>
        <v>12</v>
      </c>
      <c r="I13" s="111">
        <f t="shared" si="6"/>
        <v>29</v>
      </c>
      <c r="J13" s="111">
        <f t="shared" si="6"/>
        <v>42</v>
      </c>
      <c r="K13" s="111">
        <f t="shared" si="6"/>
        <v>39</v>
      </c>
      <c r="L13" s="111">
        <f t="shared" si="6"/>
        <v>58</v>
      </c>
      <c r="M13" s="111">
        <f t="shared" si="6"/>
        <v>73</v>
      </c>
      <c r="N13" s="111">
        <f t="shared" si="6"/>
        <v>89</v>
      </c>
      <c r="O13" s="388">
        <f t="shared" si="6"/>
        <v>106</v>
      </c>
      <c r="P13" s="388">
        <f t="shared" si="6"/>
        <v>98</v>
      </c>
      <c r="Q13" s="456">
        <f t="shared" si="6"/>
        <v>124</v>
      </c>
      <c r="R13" s="456">
        <f>SUM(R8:R12)</f>
        <v>145</v>
      </c>
      <c r="S13" s="456">
        <f t="shared" si="6"/>
        <v>143</v>
      </c>
      <c r="T13" s="456">
        <f t="shared" si="6"/>
        <v>163</v>
      </c>
      <c r="U13" s="287">
        <f t="shared" si="6"/>
        <v>196</v>
      </c>
      <c r="V13" s="111">
        <f t="shared" si="6"/>
        <v>200</v>
      </c>
      <c r="W13" s="111">
        <f t="shared" si="6"/>
        <v>204</v>
      </c>
      <c r="X13" s="111">
        <f t="shared" si="6"/>
        <v>240</v>
      </c>
      <c r="Y13" s="111">
        <f t="shared" si="6"/>
        <v>223</v>
      </c>
      <c r="Z13" s="111">
        <f t="shared" si="6"/>
        <v>182</v>
      </c>
      <c r="AA13" s="111">
        <f t="shared" si="6"/>
        <v>228</v>
      </c>
      <c r="AB13" s="111">
        <f t="shared" si="6"/>
        <v>190</v>
      </c>
      <c r="AC13" s="111">
        <f t="shared" si="6"/>
        <v>224</v>
      </c>
      <c r="AD13" s="424">
        <f t="shared" si="6"/>
        <v>178</v>
      </c>
      <c r="AE13" s="356">
        <f t="shared" si="1"/>
        <v>-0.20535714285714285</v>
      </c>
      <c r="AF13" s="356">
        <f t="shared" si="2"/>
        <v>-0.20179372197309417</v>
      </c>
      <c r="AG13" s="357">
        <f t="shared" si="3"/>
        <v>9.202453987730061E-2</v>
      </c>
      <c r="AH13" s="210">
        <f t="shared" si="4"/>
        <v>197.33333333333334</v>
      </c>
    </row>
    <row r="14" spans="1:38" ht="15" customHeight="1" x14ac:dyDescent="0.2">
      <c r="A14" s="163" t="s">
        <v>84</v>
      </c>
      <c r="B14" s="201">
        <v>61</v>
      </c>
      <c r="C14" s="201">
        <v>76</v>
      </c>
      <c r="D14" s="201">
        <v>55</v>
      </c>
      <c r="E14" s="201">
        <v>49</v>
      </c>
      <c r="F14" s="201">
        <v>48</v>
      </c>
      <c r="G14" s="201">
        <v>37</v>
      </c>
      <c r="H14" s="202">
        <v>55</v>
      </c>
      <c r="I14" s="202">
        <v>54</v>
      </c>
      <c r="J14" s="201">
        <v>56</v>
      </c>
      <c r="K14" s="201">
        <v>80</v>
      </c>
      <c r="L14" s="201">
        <v>78</v>
      </c>
      <c r="M14" s="201">
        <v>84</v>
      </c>
      <c r="N14" s="202">
        <v>68</v>
      </c>
      <c r="O14" s="389">
        <v>76</v>
      </c>
      <c r="P14" s="389">
        <v>83</v>
      </c>
      <c r="Q14" s="457">
        <v>70</v>
      </c>
      <c r="R14" s="457">
        <v>84</v>
      </c>
      <c r="S14" s="506">
        <v>87</v>
      </c>
      <c r="T14" s="457">
        <v>93</v>
      </c>
      <c r="U14" s="399">
        <v>86</v>
      </c>
      <c r="V14" s="201">
        <v>94</v>
      </c>
      <c r="W14" s="201">
        <v>90</v>
      </c>
      <c r="X14" s="202">
        <v>97</v>
      </c>
      <c r="Y14" s="202">
        <v>87</v>
      </c>
      <c r="Z14" s="201">
        <v>89</v>
      </c>
      <c r="AA14" s="201">
        <v>89</v>
      </c>
      <c r="AB14" s="201">
        <v>83</v>
      </c>
      <c r="AC14" s="201">
        <v>99</v>
      </c>
      <c r="AD14" s="143">
        <v>93</v>
      </c>
      <c r="AE14" s="358">
        <f t="shared" si="1"/>
        <v>-6.0606060606060608E-2</v>
      </c>
      <c r="AF14" s="358">
        <f t="shared" si="2"/>
        <v>6.8965517241379309E-2</v>
      </c>
      <c r="AG14" s="359">
        <f t="shared" si="3"/>
        <v>0</v>
      </c>
      <c r="AH14" s="216">
        <f t="shared" si="4"/>
        <v>91.666666666666671</v>
      </c>
      <c r="AJ14" s="29" t="str">
        <f t="shared" si="5"/>
        <v>No</v>
      </c>
      <c r="AK14" s="29" t="str">
        <f t="shared" si="0"/>
        <v>No</v>
      </c>
    </row>
    <row r="15" spans="1:38" ht="15" customHeight="1" x14ac:dyDescent="0.2">
      <c r="A15" s="203" t="s">
        <v>85</v>
      </c>
      <c r="B15" s="204">
        <v>59</v>
      </c>
      <c r="C15" s="204">
        <v>62</v>
      </c>
      <c r="D15" s="204">
        <v>72</v>
      </c>
      <c r="E15" s="204">
        <v>74</v>
      </c>
      <c r="F15" s="204">
        <v>67</v>
      </c>
      <c r="G15" s="204">
        <v>54</v>
      </c>
      <c r="H15" s="205">
        <v>74</v>
      </c>
      <c r="I15" s="205">
        <v>46</v>
      </c>
      <c r="J15" s="204">
        <v>59</v>
      </c>
      <c r="K15" s="204">
        <v>55</v>
      </c>
      <c r="L15" s="204">
        <v>61</v>
      </c>
      <c r="M15" s="204">
        <v>59</v>
      </c>
      <c r="N15" s="205">
        <v>56</v>
      </c>
      <c r="O15" s="390">
        <v>63</v>
      </c>
      <c r="P15" s="390">
        <v>61</v>
      </c>
      <c r="Q15" s="458">
        <v>61</v>
      </c>
      <c r="R15" s="458">
        <v>74</v>
      </c>
      <c r="S15" s="507">
        <f>91+2</f>
        <v>93</v>
      </c>
      <c r="T15" s="458">
        <v>74</v>
      </c>
      <c r="U15" s="400">
        <v>91</v>
      </c>
      <c r="V15" s="204">
        <v>82</v>
      </c>
      <c r="W15" s="204">
        <v>133</v>
      </c>
      <c r="X15" s="205">
        <v>133</v>
      </c>
      <c r="Y15" s="205">
        <v>113</v>
      </c>
      <c r="Z15" s="204">
        <v>130</v>
      </c>
      <c r="AA15" s="204">
        <v>137</v>
      </c>
      <c r="AB15" s="204">
        <v>127</v>
      </c>
      <c r="AC15" s="204">
        <v>103</v>
      </c>
      <c r="AD15" s="144">
        <v>101</v>
      </c>
      <c r="AE15" s="356">
        <f t="shared" si="1"/>
        <v>-1.9417475728155338E-2</v>
      </c>
      <c r="AF15" s="356">
        <f t="shared" si="2"/>
        <v>-0.10619469026548672</v>
      </c>
      <c r="AG15" s="357">
        <f t="shared" si="3"/>
        <v>0.36486486486486486</v>
      </c>
      <c r="AH15" s="210">
        <f t="shared" si="4"/>
        <v>110.33333333333333</v>
      </c>
      <c r="AJ15" s="29" t="str">
        <f t="shared" si="5"/>
        <v>No</v>
      </c>
      <c r="AK15" s="29" t="str">
        <f t="shared" si="0"/>
        <v>No</v>
      </c>
    </row>
    <row r="16" spans="1:38" ht="15" customHeight="1" thickBot="1" x14ac:dyDescent="0.25">
      <c r="A16" s="217" t="s">
        <v>86</v>
      </c>
      <c r="B16" s="218">
        <f t="shared" ref="B16:AD16" si="7">+B15+B14+B13</f>
        <v>145</v>
      </c>
      <c r="C16" s="218">
        <f t="shared" si="7"/>
        <v>174</v>
      </c>
      <c r="D16" s="218">
        <f t="shared" si="7"/>
        <v>152</v>
      </c>
      <c r="E16" s="218">
        <f t="shared" si="7"/>
        <v>150</v>
      </c>
      <c r="F16" s="218">
        <f t="shared" si="7"/>
        <v>143</v>
      </c>
      <c r="G16" s="218">
        <f t="shared" si="7"/>
        <v>114</v>
      </c>
      <c r="H16" s="218">
        <f t="shared" si="7"/>
        <v>141</v>
      </c>
      <c r="I16" s="218">
        <f t="shared" si="7"/>
        <v>129</v>
      </c>
      <c r="J16" s="218">
        <f t="shared" si="7"/>
        <v>157</v>
      </c>
      <c r="K16" s="218">
        <f t="shared" si="7"/>
        <v>174</v>
      </c>
      <c r="L16" s="218">
        <f t="shared" si="7"/>
        <v>197</v>
      </c>
      <c r="M16" s="218">
        <f t="shared" si="7"/>
        <v>216</v>
      </c>
      <c r="N16" s="218">
        <f t="shared" si="7"/>
        <v>213</v>
      </c>
      <c r="O16" s="391">
        <f t="shared" si="7"/>
        <v>245</v>
      </c>
      <c r="P16" s="391">
        <f t="shared" si="7"/>
        <v>242</v>
      </c>
      <c r="Q16" s="459">
        <f t="shared" si="7"/>
        <v>255</v>
      </c>
      <c r="R16" s="459">
        <f>+R15+R14+R13</f>
        <v>303</v>
      </c>
      <c r="S16" s="459">
        <f t="shared" si="7"/>
        <v>323</v>
      </c>
      <c r="T16" s="459">
        <f t="shared" si="7"/>
        <v>330</v>
      </c>
      <c r="U16" s="288">
        <f t="shared" si="7"/>
        <v>373</v>
      </c>
      <c r="V16" s="218">
        <f t="shared" si="7"/>
        <v>376</v>
      </c>
      <c r="W16" s="218">
        <f t="shared" si="7"/>
        <v>427</v>
      </c>
      <c r="X16" s="218">
        <f t="shared" si="7"/>
        <v>470</v>
      </c>
      <c r="Y16" s="218">
        <f t="shared" si="7"/>
        <v>423</v>
      </c>
      <c r="Z16" s="218">
        <f t="shared" si="7"/>
        <v>401</v>
      </c>
      <c r="AA16" s="218">
        <f t="shared" si="7"/>
        <v>454</v>
      </c>
      <c r="AB16" s="218">
        <f t="shared" si="7"/>
        <v>400</v>
      </c>
      <c r="AC16" s="218">
        <f t="shared" si="7"/>
        <v>426</v>
      </c>
      <c r="AD16" s="218">
        <f t="shared" si="7"/>
        <v>372</v>
      </c>
      <c r="AE16" s="360">
        <f t="shared" si="1"/>
        <v>-0.12676056338028169</v>
      </c>
      <c r="AF16" s="360">
        <f t="shared" si="2"/>
        <v>-0.12056737588652482</v>
      </c>
      <c r="AG16" s="360">
        <f t="shared" si="3"/>
        <v>0.12727272727272726</v>
      </c>
      <c r="AH16" s="305">
        <f t="shared" si="4"/>
        <v>399.33333333333331</v>
      </c>
    </row>
    <row r="17" spans="1:37" ht="15" customHeight="1" thickTop="1" x14ac:dyDescent="0.2">
      <c r="A17" s="119" t="s">
        <v>87</v>
      </c>
      <c r="B17" s="112"/>
      <c r="C17" s="112"/>
      <c r="D17" s="113"/>
      <c r="E17" s="113"/>
      <c r="F17" s="114"/>
      <c r="G17" s="114"/>
      <c r="H17" s="114"/>
      <c r="I17" s="114"/>
      <c r="J17" s="113"/>
      <c r="K17" s="113"/>
      <c r="L17" s="113"/>
      <c r="M17" s="113"/>
      <c r="N17" s="115"/>
      <c r="O17" s="115"/>
      <c r="P17" s="115"/>
      <c r="Q17" s="115"/>
      <c r="R17" s="115"/>
      <c r="S17" s="116"/>
      <c r="T17" s="116"/>
      <c r="U17" s="116"/>
      <c r="V17" s="116"/>
      <c r="W17" s="116"/>
      <c r="X17" s="117"/>
      <c r="Y17" s="117"/>
      <c r="Z17" s="118"/>
      <c r="AA17" s="118"/>
      <c r="AB17" s="118"/>
      <c r="AC17" s="118"/>
      <c r="AD17" s="118"/>
      <c r="AE17" s="304"/>
      <c r="AF17" s="304"/>
      <c r="AG17" s="304"/>
      <c r="AH17" s="329"/>
    </row>
    <row r="18" spans="1:37" ht="15" customHeight="1" x14ac:dyDescent="0.25">
      <c r="A18" s="17" t="s">
        <v>2</v>
      </c>
      <c r="B18" s="174">
        <v>27</v>
      </c>
      <c r="C18" s="174">
        <v>18</v>
      </c>
      <c r="D18" s="174">
        <v>28</v>
      </c>
      <c r="E18" s="174">
        <v>21</v>
      </c>
      <c r="F18" s="174">
        <v>17</v>
      </c>
      <c r="G18" s="174">
        <v>23</v>
      </c>
      <c r="H18" s="157">
        <v>27</v>
      </c>
      <c r="I18" s="157">
        <v>31</v>
      </c>
      <c r="J18" s="174">
        <v>37</v>
      </c>
      <c r="K18" s="174">
        <v>41</v>
      </c>
      <c r="L18" s="174">
        <v>27</v>
      </c>
      <c r="M18" s="174">
        <v>32</v>
      </c>
      <c r="N18" s="157">
        <v>18</v>
      </c>
      <c r="O18" s="385">
        <v>21</v>
      </c>
      <c r="P18" s="385">
        <v>16</v>
      </c>
      <c r="Q18" s="460">
        <v>10</v>
      </c>
      <c r="R18" s="460">
        <v>17</v>
      </c>
      <c r="S18" s="503">
        <v>17</v>
      </c>
      <c r="T18" s="460">
        <v>12</v>
      </c>
      <c r="U18" s="401">
        <v>7</v>
      </c>
      <c r="V18" s="156">
        <v>11</v>
      </c>
      <c r="W18" s="156">
        <v>6</v>
      </c>
      <c r="X18" s="157">
        <v>9</v>
      </c>
      <c r="Y18" s="157">
        <v>13</v>
      </c>
      <c r="Z18" s="156">
        <v>7</v>
      </c>
      <c r="AA18" s="156">
        <v>2</v>
      </c>
      <c r="AB18" s="156">
        <v>6</v>
      </c>
      <c r="AC18" s="156">
        <v>5</v>
      </c>
      <c r="AD18" s="175">
        <v>4</v>
      </c>
      <c r="AE18" s="343" t="str">
        <f t="shared" ref="AE18:AE52" si="8">IF(AD18=0," ",IF(AH18&gt;20,(AD18-AC18)/AC18," "))</f>
        <v xml:space="preserve"> </v>
      </c>
      <c r="AF18" s="344" t="str">
        <f t="shared" ref="AF18:AF52" si="9">IF(AD18=0," ",IF(AH18&gt;20,(AD18-Y18)/Y18," "))</f>
        <v xml:space="preserve"> </v>
      </c>
      <c r="AG18" s="345" t="str">
        <f t="shared" ref="AG18:AG52" si="10">IF(AD18=0," ",(IF(AH18&gt;20,(AD18-T18)/T18," ")))</f>
        <v xml:space="preserve"> </v>
      </c>
      <c r="AH18" s="211">
        <f t="shared" ref="AH18:AH52" si="11">IF(AB18&gt;0,AVERAGE(AB18:AD18),"  ")</f>
        <v>5</v>
      </c>
      <c r="AJ18" s="515" t="str">
        <f>IF(AD18&lt;5,"Yes","No")</f>
        <v>Yes</v>
      </c>
      <c r="AK18" s="29" t="str">
        <f>IF((AB18+AC18+AD18)&lt;15,"Yes","No")</f>
        <v>No</v>
      </c>
    </row>
    <row r="19" spans="1:37" ht="15" customHeight="1" x14ac:dyDescent="0.2">
      <c r="A19" s="17" t="s">
        <v>40</v>
      </c>
      <c r="B19" s="133">
        <v>1</v>
      </c>
      <c r="C19" s="133">
        <v>3</v>
      </c>
      <c r="D19" s="133">
        <v>3</v>
      </c>
      <c r="E19" s="133">
        <v>0</v>
      </c>
      <c r="F19" s="133">
        <v>3</v>
      </c>
      <c r="G19" s="133">
        <v>2</v>
      </c>
      <c r="H19" s="22">
        <v>2</v>
      </c>
      <c r="I19" s="22">
        <v>2</v>
      </c>
      <c r="J19" s="133">
        <v>11</v>
      </c>
      <c r="K19" s="133">
        <v>15</v>
      </c>
      <c r="L19" s="133">
        <v>17</v>
      </c>
      <c r="M19" s="133">
        <v>25</v>
      </c>
      <c r="N19" s="22">
        <v>34</v>
      </c>
      <c r="O19" s="386">
        <v>40</v>
      </c>
      <c r="P19" s="386">
        <v>44</v>
      </c>
      <c r="Q19" s="454">
        <v>44</v>
      </c>
      <c r="R19" s="454">
        <v>56</v>
      </c>
      <c r="S19" s="504">
        <f>40+1</f>
        <v>41</v>
      </c>
      <c r="T19" s="454">
        <v>54</v>
      </c>
      <c r="U19" s="397">
        <v>39</v>
      </c>
      <c r="V19" s="134">
        <v>53</v>
      </c>
      <c r="W19" s="134">
        <v>43</v>
      </c>
      <c r="X19" s="22">
        <v>47</v>
      </c>
      <c r="Y19" s="22">
        <v>44</v>
      </c>
      <c r="Z19" s="134">
        <v>43</v>
      </c>
      <c r="AA19" s="134">
        <v>45</v>
      </c>
      <c r="AB19" s="134">
        <v>43</v>
      </c>
      <c r="AC19" s="134">
        <v>36</v>
      </c>
      <c r="AD19" s="135">
        <v>28</v>
      </c>
      <c r="AE19" s="343">
        <f t="shared" si="8"/>
        <v>-0.22222222222222221</v>
      </c>
      <c r="AF19" s="344">
        <f t="shared" si="9"/>
        <v>-0.36363636363636365</v>
      </c>
      <c r="AG19" s="345">
        <f t="shared" si="10"/>
        <v>-0.48148148148148145</v>
      </c>
      <c r="AH19" s="211">
        <f t="shared" si="11"/>
        <v>35.666666666666664</v>
      </c>
      <c r="AJ19" s="29" t="str">
        <f t="shared" ref="AJ19:AJ36" si="12">IF(AD19&lt;5,"Yes","No")</f>
        <v>No</v>
      </c>
      <c r="AK19" s="29" t="str">
        <f t="shared" ref="AK19:AK36" si="13">IF((AB19+AC19+AD19)&lt;15,"Yes","No")</f>
        <v>No</v>
      </c>
    </row>
    <row r="20" spans="1:37" ht="15" customHeight="1" x14ac:dyDescent="0.2">
      <c r="A20" s="17" t="s">
        <v>141</v>
      </c>
      <c r="B20" s="133">
        <v>77</v>
      </c>
      <c r="C20" s="133">
        <v>97</v>
      </c>
      <c r="D20" s="133">
        <v>92</v>
      </c>
      <c r="E20" s="133">
        <v>95</v>
      </c>
      <c r="F20" s="133">
        <v>115</v>
      </c>
      <c r="G20" s="133">
        <v>94</v>
      </c>
      <c r="H20" s="22">
        <v>122</v>
      </c>
      <c r="I20" s="22">
        <v>129</v>
      </c>
      <c r="J20" s="133">
        <v>143</v>
      </c>
      <c r="K20" s="133">
        <v>135</v>
      </c>
      <c r="L20" s="133">
        <v>131</v>
      </c>
      <c r="M20" s="133">
        <v>142</v>
      </c>
      <c r="N20" s="22">
        <v>133</v>
      </c>
      <c r="O20" s="386">
        <v>155</v>
      </c>
      <c r="P20" s="386">
        <v>159</v>
      </c>
      <c r="Q20" s="454">
        <v>176</v>
      </c>
      <c r="R20" s="454">
        <v>138</v>
      </c>
      <c r="S20" s="504">
        <f>178+1</f>
        <v>179</v>
      </c>
      <c r="T20" s="454">
        <v>194</v>
      </c>
      <c r="U20" s="397">
        <f>182+3</f>
        <v>185</v>
      </c>
      <c r="V20" s="134">
        <v>162</v>
      </c>
      <c r="W20" s="134">
        <f>172+1</f>
        <v>173</v>
      </c>
      <c r="X20" s="22">
        <v>159</v>
      </c>
      <c r="Y20" s="22">
        <v>145</v>
      </c>
      <c r="Z20" s="134">
        <v>138</v>
      </c>
      <c r="AA20" s="134">
        <v>174</v>
      </c>
      <c r="AB20" s="134">
        <v>157</v>
      </c>
      <c r="AC20" s="134">
        <v>156</v>
      </c>
      <c r="AD20" s="135">
        <v>125</v>
      </c>
      <c r="AE20" s="343">
        <f t="shared" si="8"/>
        <v>-0.19871794871794871</v>
      </c>
      <c r="AF20" s="344">
        <f t="shared" si="9"/>
        <v>-0.13793103448275862</v>
      </c>
      <c r="AG20" s="345">
        <f t="shared" si="10"/>
        <v>-0.35567010309278352</v>
      </c>
      <c r="AH20" s="211">
        <f t="shared" si="11"/>
        <v>146</v>
      </c>
      <c r="AJ20" s="29" t="str">
        <f t="shared" si="12"/>
        <v>No</v>
      </c>
      <c r="AK20" s="29" t="str">
        <f t="shared" si="13"/>
        <v>No</v>
      </c>
    </row>
    <row r="21" spans="1:37" ht="15" customHeight="1" x14ac:dyDescent="0.2">
      <c r="A21" s="25" t="s">
        <v>7</v>
      </c>
      <c r="B21" s="176"/>
      <c r="C21" s="176"/>
      <c r="D21" s="176"/>
      <c r="E21" s="176"/>
      <c r="F21" s="176"/>
      <c r="G21" s="176"/>
      <c r="H21" s="177"/>
      <c r="I21" s="177">
        <v>4</v>
      </c>
      <c r="J21" s="176">
        <v>3</v>
      </c>
      <c r="K21" s="176">
        <v>11</v>
      </c>
      <c r="L21" s="176">
        <v>15</v>
      </c>
      <c r="M21" s="176">
        <v>12</v>
      </c>
      <c r="N21" s="177">
        <v>14</v>
      </c>
      <c r="O21" s="392">
        <v>14</v>
      </c>
      <c r="P21" s="392">
        <v>19</v>
      </c>
      <c r="Q21" s="461">
        <v>18</v>
      </c>
      <c r="R21" s="461">
        <v>26</v>
      </c>
      <c r="S21" s="508">
        <f>33+1</f>
        <v>34</v>
      </c>
      <c r="T21" s="461">
        <v>44</v>
      </c>
      <c r="U21" s="402">
        <f>40+1+3</f>
        <v>44</v>
      </c>
      <c r="V21" s="152">
        <v>41</v>
      </c>
      <c r="W21" s="152">
        <v>32</v>
      </c>
      <c r="X21" s="177">
        <v>36</v>
      </c>
      <c r="Y21" s="177">
        <v>33</v>
      </c>
      <c r="Z21" s="152">
        <v>23</v>
      </c>
      <c r="AA21" s="152">
        <v>33</v>
      </c>
      <c r="AB21" s="152">
        <v>27</v>
      </c>
      <c r="AC21" s="152">
        <v>26</v>
      </c>
      <c r="AD21" s="178">
        <v>14</v>
      </c>
      <c r="AE21" s="340">
        <f t="shared" si="8"/>
        <v>-0.46153846153846156</v>
      </c>
      <c r="AF21" s="341">
        <f t="shared" si="9"/>
        <v>-0.5757575757575758</v>
      </c>
      <c r="AG21" s="342">
        <f t="shared" si="10"/>
        <v>-0.68181818181818177</v>
      </c>
      <c r="AH21" s="363">
        <f t="shared" si="11"/>
        <v>22.333333333333332</v>
      </c>
      <c r="AJ21" s="29" t="str">
        <f t="shared" si="12"/>
        <v>No</v>
      </c>
      <c r="AK21" s="29" t="str">
        <f t="shared" si="13"/>
        <v>No</v>
      </c>
    </row>
    <row r="22" spans="1:37" ht="15" customHeight="1" x14ac:dyDescent="0.2">
      <c r="A22" s="17" t="s">
        <v>11</v>
      </c>
      <c r="B22" s="133">
        <v>35</v>
      </c>
      <c r="C22" s="133">
        <v>42</v>
      </c>
      <c r="D22" s="133">
        <v>31</v>
      </c>
      <c r="E22" s="133">
        <v>33</v>
      </c>
      <c r="F22" s="133">
        <v>31</v>
      </c>
      <c r="G22" s="133">
        <v>33</v>
      </c>
      <c r="H22" s="22">
        <v>42</v>
      </c>
      <c r="I22" s="22">
        <v>31</v>
      </c>
      <c r="J22" s="133">
        <v>38</v>
      </c>
      <c r="K22" s="133">
        <v>46</v>
      </c>
      <c r="L22" s="133">
        <v>45</v>
      </c>
      <c r="M22" s="133">
        <v>38</v>
      </c>
      <c r="N22" s="22">
        <v>45</v>
      </c>
      <c r="O22" s="386">
        <v>53</v>
      </c>
      <c r="P22" s="386">
        <v>46</v>
      </c>
      <c r="Q22" s="454">
        <v>64</v>
      </c>
      <c r="R22" s="454">
        <v>48</v>
      </c>
      <c r="S22" s="504">
        <f>60+2</f>
        <v>62</v>
      </c>
      <c r="T22" s="454">
        <v>54</v>
      </c>
      <c r="U22" s="397">
        <f>43+3</f>
        <v>46</v>
      </c>
      <c r="V22" s="134">
        <v>52</v>
      </c>
      <c r="W22" s="134">
        <f>50+4</f>
        <v>54</v>
      </c>
      <c r="X22" s="22">
        <v>50</v>
      </c>
      <c r="Y22" s="22">
        <v>44</v>
      </c>
      <c r="Z22" s="134">
        <v>37</v>
      </c>
      <c r="AA22" s="134">
        <v>56</v>
      </c>
      <c r="AB22" s="134">
        <v>44</v>
      </c>
      <c r="AC22" s="134">
        <v>31</v>
      </c>
      <c r="AD22" s="135">
        <v>43</v>
      </c>
      <c r="AE22" s="343">
        <f t="shared" si="8"/>
        <v>0.38709677419354838</v>
      </c>
      <c r="AF22" s="344">
        <f t="shared" si="9"/>
        <v>-2.2727272727272728E-2</v>
      </c>
      <c r="AG22" s="345">
        <f t="shared" si="10"/>
        <v>-0.20370370370370369</v>
      </c>
      <c r="AH22" s="211">
        <f t="shared" si="11"/>
        <v>39.333333333333336</v>
      </c>
      <c r="AJ22" s="29" t="str">
        <f t="shared" si="12"/>
        <v>No</v>
      </c>
      <c r="AK22" s="29" t="str">
        <f t="shared" si="13"/>
        <v>No</v>
      </c>
    </row>
    <row r="23" spans="1:37" ht="15" customHeight="1" x14ac:dyDescent="0.25">
      <c r="A23" s="17" t="s">
        <v>58</v>
      </c>
      <c r="B23" s="133"/>
      <c r="C23" s="133"/>
      <c r="D23" s="133"/>
      <c r="E23" s="133"/>
      <c r="F23" s="133"/>
      <c r="G23" s="133"/>
      <c r="H23" s="22"/>
      <c r="I23" s="22"/>
      <c r="J23" s="133"/>
      <c r="K23" s="133"/>
      <c r="L23" s="133"/>
      <c r="M23" s="133"/>
      <c r="N23" s="22"/>
      <c r="O23" s="386">
        <v>1</v>
      </c>
      <c r="P23" s="386">
        <v>2</v>
      </c>
      <c r="Q23" s="454">
        <v>2</v>
      </c>
      <c r="R23" s="454">
        <v>0</v>
      </c>
      <c r="S23" s="504">
        <v>1</v>
      </c>
      <c r="T23" s="454">
        <v>2</v>
      </c>
      <c r="U23" s="397">
        <v>2</v>
      </c>
      <c r="V23" s="134">
        <v>2</v>
      </c>
      <c r="W23" s="134">
        <v>4</v>
      </c>
      <c r="X23" s="22">
        <v>3</v>
      </c>
      <c r="Y23" s="22">
        <v>0</v>
      </c>
      <c r="Z23" s="134">
        <v>1</v>
      </c>
      <c r="AA23" s="134">
        <v>2</v>
      </c>
      <c r="AB23" s="134">
        <v>3</v>
      </c>
      <c r="AC23" s="134">
        <v>1</v>
      </c>
      <c r="AD23" s="135">
        <v>1</v>
      </c>
      <c r="AE23" s="343" t="str">
        <f t="shared" si="8"/>
        <v xml:space="preserve"> </v>
      </c>
      <c r="AF23" s="344" t="str">
        <f t="shared" si="9"/>
        <v xml:space="preserve"> </v>
      </c>
      <c r="AG23" s="345" t="str">
        <f t="shared" si="10"/>
        <v xml:space="preserve"> </v>
      </c>
      <c r="AH23" s="211">
        <f t="shared" si="11"/>
        <v>1.6666666666666667</v>
      </c>
      <c r="AJ23" s="515" t="str">
        <f t="shared" si="12"/>
        <v>Yes</v>
      </c>
      <c r="AK23" s="515" t="str">
        <f t="shared" si="13"/>
        <v>Yes</v>
      </c>
    </row>
    <row r="24" spans="1:37" ht="15" customHeight="1" x14ac:dyDescent="0.2">
      <c r="A24" s="18" t="s">
        <v>62</v>
      </c>
      <c r="B24" s="139"/>
      <c r="C24" s="139"/>
      <c r="D24" s="139"/>
      <c r="E24" s="139"/>
      <c r="F24" s="139"/>
      <c r="G24" s="139"/>
      <c r="H24" s="27"/>
      <c r="I24" s="27"/>
      <c r="J24" s="139"/>
      <c r="K24" s="139"/>
      <c r="L24" s="139"/>
      <c r="M24" s="139">
        <v>1</v>
      </c>
      <c r="N24" s="27">
        <v>4</v>
      </c>
      <c r="O24" s="387">
        <v>3</v>
      </c>
      <c r="P24" s="387">
        <v>6</v>
      </c>
      <c r="Q24" s="455">
        <v>17</v>
      </c>
      <c r="R24" s="455">
        <f>17+1</f>
        <v>18</v>
      </c>
      <c r="S24" s="505">
        <v>23</v>
      </c>
      <c r="T24" s="455">
        <v>21</v>
      </c>
      <c r="U24" s="398">
        <f>47+1</f>
        <v>48</v>
      </c>
      <c r="V24" s="140">
        <v>42</v>
      </c>
      <c r="W24" s="140">
        <f>42+2</f>
        <v>44</v>
      </c>
      <c r="X24" s="27">
        <v>40</v>
      </c>
      <c r="Y24" s="27">
        <v>53</v>
      </c>
      <c r="Z24" s="140">
        <v>47</v>
      </c>
      <c r="AA24" s="140">
        <v>49</v>
      </c>
      <c r="AB24" s="140">
        <v>51</v>
      </c>
      <c r="AC24" s="140">
        <v>38</v>
      </c>
      <c r="AD24" s="141">
        <v>33</v>
      </c>
      <c r="AE24" s="346">
        <f t="shared" si="8"/>
        <v>-0.13157894736842105</v>
      </c>
      <c r="AF24" s="347">
        <f t="shared" si="9"/>
        <v>-0.37735849056603776</v>
      </c>
      <c r="AG24" s="348">
        <f t="shared" si="10"/>
        <v>0.5714285714285714</v>
      </c>
      <c r="AH24" s="364">
        <f t="shared" si="11"/>
        <v>40.666666666666664</v>
      </c>
      <c r="AJ24" s="29" t="str">
        <f t="shared" si="12"/>
        <v>No</v>
      </c>
      <c r="AK24" s="29" t="str">
        <f t="shared" si="13"/>
        <v>No</v>
      </c>
    </row>
    <row r="25" spans="1:37" ht="15" customHeight="1" x14ac:dyDescent="0.25">
      <c r="A25" s="17" t="s">
        <v>14</v>
      </c>
      <c r="B25" s="133">
        <v>3</v>
      </c>
      <c r="C25" s="133">
        <v>2</v>
      </c>
      <c r="D25" s="133">
        <v>1</v>
      </c>
      <c r="E25" s="133">
        <v>2</v>
      </c>
      <c r="F25" s="133">
        <v>1</v>
      </c>
      <c r="G25" s="133">
        <v>3</v>
      </c>
      <c r="H25" s="22">
        <v>1</v>
      </c>
      <c r="I25" s="22">
        <v>3</v>
      </c>
      <c r="J25" s="133">
        <v>5</v>
      </c>
      <c r="K25" s="133">
        <v>1</v>
      </c>
      <c r="L25" s="133">
        <v>5</v>
      </c>
      <c r="M25" s="133">
        <v>2</v>
      </c>
      <c r="N25" s="22">
        <v>1</v>
      </c>
      <c r="O25" s="386">
        <v>3</v>
      </c>
      <c r="P25" s="386">
        <v>2</v>
      </c>
      <c r="Q25" s="454">
        <v>0</v>
      </c>
      <c r="R25" s="454">
        <v>2</v>
      </c>
      <c r="S25" s="504">
        <v>2</v>
      </c>
      <c r="T25" s="454">
        <v>2</v>
      </c>
      <c r="U25" s="397">
        <v>1</v>
      </c>
      <c r="V25" s="134">
        <v>4</v>
      </c>
      <c r="W25" s="134">
        <f>3+3</f>
        <v>6</v>
      </c>
      <c r="X25" s="22">
        <v>1</v>
      </c>
      <c r="Y25" s="22">
        <v>4</v>
      </c>
      <c r="Z25" s="134">
        <v>5</v>
      </c>
      <c r="AA25" s="134">
        <v>3</v>
      </c>
      <c r="AB25" s="134">
        <v>5</v>
      </c>
      <c r="AC25" s="134">
        <v>3</v>
      </c>
      <c r="AD25" s="135">
        <v>3</v>
      </c>
      <c r="AE25" s="343" t="str">
        <f t="shared" si="8"/>
        <v xml:space="preserve"> </v>
      </c>
      <c r="AF25" s="344" t="str">
        <f t="shared" si="9"/>
        <v xml:space="preserve"> </v>
      </c>
      <c r="AG25" s="345" t="str">
        <f t="shared" si="10"/>
        <v xml:space="preserve"> </v>
      </c>
      <c r="AH25" s="211">
        <f t="shared" si="11"/>
        <v>3.6666666666666665</v>
      </c>
      <c r="AJ25" s="515" t="str">
        <f t="shared" si="12"/>
        <v>Yes</v>
      </c>
      <c r="AK25" s="515" t="str">
        <f t="shared" si="13"/>
        <v>Yes</v>
      </c>
    </row>
    <row r="26" spans="1:37" ht="15" customHeight="1" x14ac:dyDescent="0.2">
      <c r="A26" s="17" t="s">
        <v>17</v>
      </c>
      <c r="B26" s="133">
        <v>43</v>
      </c>
      <c r="C26" s="133">
        <v>47</v>
      </c>
      <c r="D26" s="133">
        <v>50</v>
      </c>
      <c r="E26" s="133">
        <v>65</v>
      </c>
      <c r="F26" s="133">
        <v>47</v>
      </c>
      <c r="G26" s="133">
        <v>37</v>
      </c>
      <c r="H26" s="22">
        <v>33</v>
      </c>
      <c r="I26" s="22">
        <v>45</v>
      </c>
      <c r="J26" s="133">
        <v>52</v>
      </c>
      <c r="K26" s="133">
        <v>85</v>
      </c>
      <c r="L26" s="133">
        <v>72</v>
      </c>
      <c r="M26" s="133">
        <v>55</v>
      </c>
      <c r="N26" s="22">
        <v>67</v>
      </c>
      <c r="O26" s="386">
        <v>50</v>
      </c>
      <c r="P26" s="386">
        <v>60</v>
      </c>
      <c r="Q26" s="454">
        <v>70</v>
      </c>
      <c r="R26" s="454">
        <f>75+1</f>
        <v>76</v>
      </c>
      <c r="S26" s="504">
        <f>53+2</f>
        <v>55</v>
      </c>
      <c r="T26" s="454">
        <v>66</v>
      </c>
      <c r="U26" s="397">
        <f>50+3</f>
        <v>53</v>
      </c>
      <c r="V26" s="134">
        <v>47</v>
      </c>
      <c r="W26" s="134">
        <v>39</v>
      </c>
      <c r="X26" s="22">
        <v>42</v>
      </c>
      <c r="Y26" s="22">
        <v>46</v>
      </c>
      <c r="Z26" s="134">
        <v>37</v>
      </c>
      <c r="AA26" s="134">
        <v>31</v>
      </c>
      <c r="AB26" s="134">
        <v>35</v>
      </c>
      <c r="AC26" s="134">
        <v>35</v>
      </c>
      <c r="AD26" s="135">
        <v>35</v>
      </c>
      <c r="AE26" s="343">
        <f t="shared" si="8"/>
        <v>0</v>
      </c>
      <c r="AF26" s="344">
        <f t="shared" si="9"/>
        <v>-0.2391304347826087</v>
      </c>
      <c r="AG26" s="345">
        <f t="shared" si="10"/>
        <v>-0.46969696969696972</v>
      </c>
      <c r="AH26" s="211">
        <f t="shared" si="11"/>
        <v>35</v>
      </c>
      <c r="AJ26" s="29" t="str">
        <f t="shared" si="12"/>
        <v>No</v>
      </c>
      <c r="AK26" s="29" t="str">
        <f t="shared" si="13"/>
        <v>No</v>
      </c>
    </row>
    <row r="27" spans="1:37" ht="15" customHeight="1" x14ac:dyDescent="0.2">
      <c r="A27" s="17" t="s">
        <v>18</v>
      </c>
      <c r="B27" s="133"/>
      <c r="C27" s="133"/>
      <c r="D27" s="133"/>
      <c r="E27" s="133"/>
      <c r="F27" s="133"/>
      <c r="G27" s="133"/>
      <c r="H27" s="22"/>
      <c r="I27" s="22">
        <v>26</v>
      </c>
      <c r="J27" s="133">
        <v>53</v>
      </c>
      <c r="K27" s="133">
        <v>63</v>
      </c>
      <c r="L27" s="133">
        <v>55</v>
      </c>
      <c r="M27" s="133">
        <v>58</v>
      </c>
      <c r="N27" s="22">
        <v>61</v>
      </c>
      <c r="O27" s="386">
        <v>71</v>
      </c>
      <c r="P27" s="386">
        <v>67</v>
      </c>
      <c r="Q27" s="454">
        <v>52</v>
      </c>
      <c r="R27" s="454">
        <v>66</v>
      </c>
      <c r="S27" s="504">
        <v>67</v>
      </c>
      <c r="T27" s="454">
        <v>53</v>
      </c>
      <c r="U27" s="397">
        <v>51</v>
      </c>
      <c r="V27" s="134">
        <v>58</v>
      </c>
      <c r="W27" s="134">
        <v>56</v>
      </c>
      <c r="X27" s="22">
        <v>64</v>
      </c>
      <c r="Y27" s="22">
        <v>54</v>
      </c>
      <c r="Z27" s="134">
        <v>55</v>
      </c>
      <c r="AA27" s="134">
        <v>66</v>
      </c>
      <c r="AB27" s="134">
        <v>50</v>
      </c>
      <c r="AC27" s="134">
        <v>43</v>
      </c>
      <c r="AD27" s="135">
        <v>64</v>
      </c>
      <c r="AE27" s="343">
        <f t="shared" si="8"/>
        <v>0.48837209302325579</v>
      </c>
      <c r="AF27" s="344">
        <f t="shared" si="9"/>
        <v>0.18518518518518517</v>
      </c>
      <c r="AG27" s="345">
        <f t="shared" si="10"/>
        <v>0.20754716981132076</v>
      </c>
      <c r="AH27" s="211">
        <f t="shared" si="11"/>
        <v>52.333333333333336</v>
      </c>
      <c r="AJ27" s="29" t="str">
        <f t="shared" si="12"/>
        <v>No</v>
      </c>
      <c r="AK27" s="29" t="str">
        <f t="shared" si="13"/>
        <v>No</v>
      </c>
    </row>
    <row r="28" spans="1:37" ht="15" customHeight="1" x14ac:dyDescent="0.2">
      <c r="A28" s="17" t="s">
        <v>19</v>
      </c>
      <c r="B28" s="133"/>
      <c r="C28" s="133"/>
      <c r="D28" s="133"/>
      <c r="E28" s="133"/>
      <c r="F28" s="133"/>
      <c r="G28" s="133"/>
      <c r="H28" s="22"/>
      <c r="I28" s="22"/>
      <c r="J28" s="133"/>
      <c r="K28" s="133"/>
      <c r="L28" s="133">
        <v>1</v>
      </c>
      <c r="M28" s="133">
        <v>6</v>
      </c>
      <c r="N28" s="22">
        <v>9</v>
      </c>
      <c r="O28" s="386">
        <v>12</v>
      </c>
      <c r="P28" s="386">
        <v>11</v>
      </c>
      <c r="Q28" s="454">
        <v>11</v>
      </c>
      <c r="R28" s="454">
        <f>21+2</f>
        <v>23</v>
      </c>
      <c r="S28" s="504">
        <f>25+2</f>
        <v>27</v>
      </c>
      <c r="T28" s="454">
        <v>16</v>
      </c>
      <c r="U28" s="397">
        <f>17+1</f>
        <v>18</v>
      </c>
      <c r="V28" s="134">
        <v>15</v>
      </c>
      <c r="W28" s="134">
        <f>12+1</f>
        <v>13</v>
      </c>
      <c r="X28" s="22">
        <v>15</v>
      </c>
      <c r="Y28" s="22">
        <v>17</v>
      </c>
      <c r="Z28" s="134">
        <v>19</v>
      </c>
      <c r="AA28" s="134">
        <v>23</v>
      </c>
      <c r="AB28" s="134">
        <v>13</v>
      </c>
      <c r="AC28" s="134">
        <v>12</v>
      </c>
      <c r="AD28" s="135">
        <v>12</v>
      </c>
      <c r="AE28" s="343" t="str">
        <f t="shared" si="8"/>
        <v xml:space="preserve"> </v>
      </c>
      <c r="AF28" s="344" t="str">
        <f t="shared" si="9"/>
        <v xml:space="preserve"> </v>
      </c>
      <c r="AG28" s="345" t="str">
        <f t="shared" si="10"/>
        <v xml:space="preserve"> </v>
      </c>
      <c r="AH28" s="211">
        <f t="shared" si="11"/>
        <v>12.333333333333334</v>
      </c>
      <c r="AJ28" s="29" t="str">
        <f t="shared" si="12"/>
        <v>No</v>
      </c>
      <c r="AK28" s="29" t="str">
        <f t="shared" si="13"/>
        <v>No</v>
      </c>
    </row>
    <row r="29" spans="1:37" ht="15" hidden="1" customHeight="1" x14ac:dyDescent="0.2">
      <c r="A29" s="17" t="s">
        <v>47</v>
      </c>
      <c r="B29" s="133">
        <v>79</v>
      </c>
      <c r="C29" s="133">
        <v>83</v>
      </c>
      <c r="D29" s="133">
        <v>66</v>
      </c>
      <c r="E29" s="133">
        <v>75</v>
      </c>
      <c r="F29" s="133">
        <v>62</v>
      </c>
      <c r="G29" s="133">
        <v>65</v>
      </c>
      <c r="H29" s="22">
        <v>69</v>
      </c>
      <c r="I29" s="22">
        <v>52</v>
      </c>
      <c r="J29" s="133">
        <v>12</v>
      </c>
      <c r="K29" s="133">
        <v>2</v>
      </c>
      <c r="L29" s="133">
        <v>0</v>
      </c>
      <c r="M29" s="133">
        <v>1</v>
      </c>
      <c r="N29" s="22"/>
      <c r="O29" s="386"/>
      <c r="P29" s="386"/>
      <c r="Q29" s="454"/>
      <c r="R29" s="454"/>
      <c r="S29" s="504"/>
      <c r="T29" s="454"/>
      <c r="U29" s="397"/>
      <c r="V29" s="134"/>
      <c r="W29" s="134"/>
      <c r="X29" s="22"/>
      <c r="Y29" s="22"/>
      <c r="Z29" s="134"/>
      <c r="AA29" s="134"/>
      <c r="AB29" s="134"/>
      <c r="AC29" s="134"/>
      <c r="AD29" s="135"/>
      <c r="AE29" s="343" t="str">
        <f t="shared" si="8"/>
        <v xml:space="preserve"> </v>
      </c>
      <c r="AF29" s="344" t="str">
        <f t="shared" si="9"/>
        <v xml:space="preserve"> </v>
      </c>
      <c r="AG29" s="345" t="str">
        <f t="shared" si="10"/>
        <v xml:space="preserve"> </v>
      </c>
      <c r="AH29" s="211" t="str">
        <f t="shared" si="11"/>
        <v xml:space="preserve">  </v>
      </c>
      <c r="AJ29" s="29" t="str">
        <f t="shared" si="12"/>
        <v>Yes</v>
      </c>
      <c r="AK29" s="29" t="str">
        <f t="shared" si="13"/>
        <v>Yes</v>
      </c>
    </row>
    <row r="30" spans="1:37" ht="15" customHeight="1" x14ac:dyDescent="0.25">
      <c r="A30" s="179" t="s">
        <v>23</v>
      </c>
      <c r="B30" s="176">
        <v>2</v>
      </c>
      <c r="C30" s="176">
        <v>7</v>
      </c>
      <c r="D30" s="176">
        <v>6</v>
      </c>
      <c r="E30" s="176">
        <v>5</v>
      </c>
      <c r="F30" s="176">
        <v>4</v>
      </c>
      <c r="G30" s="176">
        <v>1</v>
      </c>
      <c r="H30" s="177">
        <v>5</v>
      </c>
      <c r="I30" s="177">
        <v>8</v>
      </c>
      <c r="J30" s="176">
        <v>9</v>
      </c>
      <c r="K30" s="176">
        <v>2</v>
      </c>
      <c r="L30" s="176">
        <v>5</v>
      </c>
      <c r="M30" s="176">
        <v>6</v>
      </c>
      <c r="N30" s="177">
        <v>2</v>
      </c>
      <c r="O30" s="392">
        <v>6</v>
      </c>
      <c r="P30" s="392">
        <v>7</v>
      </c>
      <c r="Q30" s="461">
        <v>9</v>
      </c>
      <c r="R30" s="461">
        <v>7</v>
      </c>
      <c r="S30" s="508">
        <v>10</v>
      </c>
      <c r="T30" s="461">
        <v>5</v>
      </c>
      <c r="U30" s="402">
        <v>9</v>
      </c>
      <c r="V30" s="152">
        <v>18</v>
      </c>
      <c r="W30" s="152">
        <v>8</v>
      </c>
      <c r="X30" s="177">
        <v>10</v>
      </c>
      <c r="Y30" s="177">
        <v>12</v>
      </c>
      <c r="Z30" s="152">
        <v>13</v>
      </c>
      <c r="AA30" s="152">
        <v>7</v>
      </c>
      <c r="AB30" s="152">
        <v>18</v>
      </c>
      <c r="AC30" s="152">
        <v>5</v>
      </c>
      <c r="AD30" s="178">
        <v>4</v>
      </c>
      <c r="AE30" s="340" t="str">
        <f t="shared" si="8"/>
        <v xml:space="preserve"> </v>
      </c>
      <c r="AF30" s="341" t="str">
        <f t="shared" si="9"/>
        <v xml:space="preserve"> </v>
      </c>
      <c r="AG30" s="342" t="str">
        <f t="shared" si="10"/>
        <v xml:space="preserve"> </v>
      </c>
      <c r="AH30" s="363">
        <f t="shared" si="11"/>
        <v>9</v>
      </c>
      <c r="AJ30" s="515" t="str">
        <f t="shared" si="12"/>
        <v>Yes</v>
      </c>
      <c r="AK30" s="29" t="str">
        <f t="shared" si="13"/>
        <v>No</v>
      </c>
    </row>
    <row r="31" spans="1:37" ht="15" customHeight="1" x14ac:dyDescent="0.2">
      <c r="A31" s="1" t="s">
        <v>24</v>
      </c>
      <c r="B31" s="133">
        <v>11</v>
      </c>
      <c r="C31" s="133">
        <v>7</v>
      </c>
      <c r="D31" s="133">
        <v>10</v>
      </c>
      <c r="E31" s="133">
        <v>11</v>
      </c>
      <c r="F31" s="133">
        <v>12</v>
      </c>
      <c r="G31" s="133">
        <v>6</v>
      </c>
      <c r="H31" s="22">
        <v>9</v>
      </c>
      <c r="I31" s="22">
        <v>22</v>
      </c>
      <c r="J31" s="133">
        <v>16</v>
      </c>
      <c r="K31" s="133">
        <v>17</v>
      </c>
      <c r="L31" s="133">
        <v>4</v>
      </c>
      <c r="M31" s="133">
        <v>18</v>
      </c>
      <c r="N31" s="22">
        <v>14</v>
      </c>
      <c r="O31" s="386">
        <v>19</v>
      </c>
      <c r="P31" s="386">
        <v>14</v>
      </c>
      <c r="Q31" s="454">
        <v>14</v>
      </c>
      <c r="R31" s="454">
        <v>12</v>
      </c>
      <c r="S31" s="504">
        <f>7+1</f>
        <v>8</v>
      </c>
      <c r="T31" s="454">
        <v>9</v>
      </c>
      <c r="U31" s="397">
        <v>11</v>
      </c>
      <c r="V31" s="134">
        <v>8</v>
      </c>
      <c r="W31" s="134">
        <f>1+1</f>
        <v>2</v>
      </c>
      <c r="X31" s="22">
        <v>5</v>
      </c>
      <c r="Y31" s="22">
        <v>4</v>
      </c>
      <c r="Z31" s="134">
        <v>7</v>
      </c>
      <c r="AA31" s="134">
        <v>3</v>
      </c>
      <c r="AB31" s="134">
        <v>5</v>
      </c>
      <c r="AC31" s="134">
        <v>3</v>
      </c>
      <c r="AD31" s="135">
        <v>10</v>
      </c>
      <c r="AE31" s="343" t="str">
        <f t="shared" si="8"/>
        <v xml:space="preserve"> </v>
      </c>
      <c r="AF31" s="344" t="str">
        <f t="shared" si="9"/>
        <v xml:space="preserve"> </v>
      </c>
      <c r="AG31" s="345" t="str">
        <f t="shared" si="10"/>
        <v xml:space="preserve"> </v>
      </c>
      <c r="AH31" s="211">
        <f t="shared" si="11"/>
        <v>6</v>
      </c>
      <c r="AJ31" s="29" t="str">
        <f t="shared" si="12"/>
        <v>No</v>
      </c>
      <c r="AK31" s="29" t="str">
        <f t="shared" si="13"/>
        <v>No</v>
      </c>
    </row>
    <row r="32" spans="1:37" ht="15" customHeight="1" x14ac:dyDescent="0.2">
      <c r="A32" s="1" t="s">
        <v>27</v>
      </c>
      <c r="B32" s="133">
        <v>22</v>
      </c>
      <c r="C32" s="133">
        <v>27</v>
      </c>
      <c r="D32" s="133">
        <v>27</v>
      </c>
      <c r="E32" s="133">
        <v>25</v>
      </c>
      <c r="F32" s="133">
        <v>25</v>
      </c>
      <c r="G32" s="133">
        <v>28</v>
      </c>
      <c r="H32" s="22">
        <v>33</v>
      </c>
      <c r="I32" s="22">
        <v>25</v>
      </c>
      <c r="J32" s="133">
        <v>25</v>
      </c>
      <c r="K32" s="133">
        <v>25</v>
      </c>
      <c r="L32" s="133">
        <v>31</v>
      </c>
      <c r="M32" s="133">
        <v>30</v>
      </c>
      <c r="N32" s="22">
        <v>33</v>
      </c>
      <c r="O32" s="386">
        <v>26</v>
      </c>
      <c r="P32" s="386">
        <v>32</v>
      </c>
      <c r="Q32" s="454">
        <v>28</v>
      </c>
      <c r="R32" s="454">
        <v>34</v>
      </c>
      <c r="S32" s="504">
        <f>34+1</f>
        <v>35</v>
      </c>
      <c r="T32" s="454">
        <v>37</v>
      </c>
      <c r="U32" s="397">
        <f>33+1</f>
        <v>34</v>
      </c>
      <c r="V32" s="134">
        <v>33</v>
      </c>
      <c r="W32" s="134">
        <f>20+1</f>
        <v>21</v>
      </c>
      <c r="X32" s="22">
        <v>23</v>
      </c>
      <c r="Y32" s="22">
        <v>38</v>
      </c>
      <c r="Z32" s="134">
        <v>34</v>
      </c>
      <c r="AA32" s="134">
        <v>32</v>
      </c>
      <c r="AB32" s="134">
        <v>37</v>
      </c>
      <c r="AC32" s="134">
        <v>17</v>
      </c>
      <c r="AD32" s="135">
        <v>26</v>
      </c>
      <c r="AE32" s="343">
        <f t="shared" si="8"/>
        <v>0.52941176470588236</v>
      </c>
      <c r="AF32" s="344">
        <f t="shared" si="9"/>
        <v>-0.31578947368421051</v>
      </c>
      <c r="AG32" s="345">
        <f t="shared" si="10"/>
        <v>-0.29729729729729731</v>
      </c>
      <c r="AH32" s="211">
        <f t="shared" si="11"/>
        <v>26.666666666666668</v>
      </c>
      <c r="AJ32" s="29" t="str">
        <f t="shared" si="12"/>
        <v>No</v>
      </c>
      <c r="AK32" s="29" t="str">
        <f t="shared" si="13"/>
        <v>No</v>
      </c>
    </row>
    <row r="33" spans="1:166" ht="15" customHeight="1" x14ac:dyDescent="0.2">
      <c r="A33" s="13" t="s">
        <v>28</v>
      </c>
      <c r="B33" s="139">
        <v>67</v>
      </c>
      <c r="C33" s="139">
        <v>74</v>
      </c>
      <c r="D33" s="139">
        <v>67</v>
      </c>
      <c r="E33" s="139">
        <v>81</v>
      </c>
      <c r="F33" s="139">
        <v>67</v>
      </c>
      <c r="G33" s="139">
        <v>71</v>
      </c>
      <c r="H33" s="27">
        <v>85</v>
      </c>
      <c r="I33" s="27">
        <v>79</v>
      </c>
      <c r="J33" s="139">
        <v>58</v>
      </c>
      <c r="K33" s="139">
        <v>84</v>
      </c>
      <c r="L33" s="139">
        <v>78</v>
      </c>
      <c r="M33" s="139">
        <v>71</v>
      </c>
      <c r="N33" s="27">
        <v>91</v>
      </c>
      <c r="O33" s="387">
        <v>106</v>
      </c>
      <c r="P33" s="387">
        <v>99</v>
      </c>
      <c r="Q33" s="455">
        <v>117</v>
      </c>
      <c r="R33" s="455">
        <v>120</v>
      </c>
      <c r="S33" s="505">
        <f>119+1</f>
        <v>120</v>
      </c>
      <c r="T33" s="455">
        <v>165</v>
      </c>
      <c r="U33" s="398">
        <f>121+4</f>
        <v>125</v>
      </c>
      <c r="V33" s="140">
        <v>144</v>
      </c>
      <c r="W33" s="140">
        <f>135+5</f>
        <v>140</v>
      </c>
      <c r="X33" s="27">
        <v>137</v>
      </c>
      <c r="Y33" s="27">
        <v>118</v>
      </c>
      <c r="Z33" s="140">
        <v>138</v>
      </c>
      <c r="AA33" s="140">
        <v>113</v>
      </c>
      <c r="AB33" s="140">
        <v>155</v>
      </c>
      <c r="AC33" s="140">
        <v>143</v>
      </c>
      <c r="AD33" s="141">
        <v>126</v>
      </c>
      <c r="AE33" s="346">
        <f t="shared" si="8"/>
        <v>-0.11888111888111888</v>
      </c>
      <c r="AF33" s="347">
        <f t="shared" si="9"/>
        <v>6.7796610169491525E-2</v>
      </c>
      <c r="AG33" s="348">
        <f t="shared" si="10"/>
        <v>-0.23636363636363636</v>
      </c>
      <c r="AH33" s="364">
        <f t="shared" si="11"/>
        <v>141.33333333333334</v>
      </c>
      <c r="AJ33" s="29" t="str">
        <f t="shared" si="12"/>
        <v>No</v>
      </c>
      <c r="AK33" s="29" t="str">
        <f t="shared" si="13"/>
        <v>No</v>
      </c>
    </row>
    <row r="34" spans="1:166" ht="15" customHeight="1" x14ac:dyDescent="0.2">
      <c r="A34" s="1" t="s">
        <v>31</v>
      </c>
      <c r="B34" s="133">
        <v>16</v>
      </c>
      <c r="C34" s="133">
        <v>16</v>
      </c>
      <c r="D34" s="133">
        <v>17</v>
      </c>
      <c r="E34" s="133">
        <v>16</v>
      </c>
      <c r="F34" s="133">
        <v>8</v>
      </c>
      <c r="G34" s="133">
        <v>16</v>
      </c>
      <c r="H34" s="22">
        <v>16</v>
      </c>
      <c r="I34" s="22">
        <v>12</v>
      </c>
      <c r="J34" s="133">
        <v>7</v>
      </c>
      <c r="K34" s="133">
        <v>5</v>
      </c>
      <c r="L34" s="133">
        <v>10</v>
      </c>
      <c r="M34" s="133">
        <v>7</v>
      </c>
      <c r="N34" s="22">
        <v>9</v>
      </c>
      <c r="O34" s="386">
        <v>11</v>
      </c>
      <c r="P34" s="386">
        <v>18</v>
      </c>
      <c r="Q34" s="454">
        <v>15</v>
      </c>
      <c r="R34" s="454">
        <v>21</v>
      </c>
      <c r="S34" s="504">
        <v>16</v>
      </c>
      <c r="T34" s="454">
        <v>12</v>
      </c>
      <c r="U34" s="397">
        <v>9</v>
      </c>
      <c r="V34" s="134">
        <v>20</v>
      </c>
      <c r="W34" s="134">
        <v>18</v>
      </c>
      <c r="X34" s="22">
        <v>13</v>
      </c>
      <c r="Y34" s="22">
        <v>17</v>
      </c>
      <c r="Z34" s="134">
        <v>14</v>
      </c>
      <c r="AA34" s="134">
        <v>11</v>
      </c>
      <c r="AB34" s="134">
        <v>23</v>
      </c>
      <c r="AC34" s="134">
        <v>11</v>
      </c>
      <c r="AD34" s="135">
        <v>15</v>
      </c>
      <c r="AE34" s="343" t="str">
        <f t="shared" si="8"/>
        <v xml:space="preserve"> </v>
      </c>
      <c r="AF34" s="344" t="str">
        <f t="shared" si="9"/>
        <v xml:space="preserve"> </v>
      </c>
      <c r="AG34" s="345" t="str">
        <f t="shared" si="10"/>
        <v xml:space="preserve"> </v>
      </c>
      <c r="AH34" s="211">
        <f t="shared" si="11"/>
        <v>16.333333333333332</v>
      </c>
      <c r="AJ34" s="29" t="str">
        <f t="shared" si="12"/>
        <v>No</v>
      </c>
      <c r="AK34" s="29" t="str">
        <f t="shared" si="13"/>
        <v>No</v>
      </c>
    </row>
    <row r="35" spans="1:166" ht="15" customHeight="1" x14ac:dyDescent="0.25">
      <c r="A35" s="1" t="s">
        <v>32</v>
      </c>
      <c r="B35" s="133">
        <v>1</v>
      </c>
      <c r="C35" s="133">
        <v>0</v>
      </c>
      <c r="D35" s="133">
        <v>3</v>
      </c>
      <c r="E35" s="133">
        <v>5</v>
      </c>
      <c r="F35" s="133">
        <v>4</v>
      </c>
      <c r="G35" s="133">
        <v>6</v>
      </c>
      <c r="H35" s="22">
        <v>8</v>
      </c>
      <c r="I35" s="22">
        <v>12</v>
      </c>
      <c r="J35" s="133">
        <v>13</v>
      </c>
      <c r="K35" s="133">
        <v>8</v>
      </c>
      <c r="L35" s="133">
        <v>11</v>
      </c>
      <c r="M35" s="133">
        <v>16</v>
      </c>
      <c r="N35" s="22">
        <v>27</v>
      </c>
      <c r="O35" s="386">
        <v>17</v>
      </c>
      <c r="P35" s="386">
        <v>12</v>
      </c>
      <c r="Q35" s="454">
        <v>11</v>
      </c>
      <c r="R35" s="454">
        <v>6</v>
      </c>
      <c r="S35" s="504">
        <f>6+7</f>
        <v>13</v>
      </c>
      <c r="T35" s="454">
        <v>13</v>
      </c>
      <c r="U35" s="397">
        <f>9+2</f>
        <v>11</v>
      </c>
      <c r="V35" s="134">
        <v>11</v>
      </c>
      <c r="W35" s="134">
        <f>9+5</f>
        <v>14</v>
      </c>
      <c r="X35" s="22">
        <v>7</v>
      </c>
      <c r="Y35" s="22">
        <v>9</v>
      </c>
      <c r="Z35" s="134">
        <v>6</v>
      </c>
      <c r="AA35" s="134">
        <v>7</v>
      </c>
      <c r="AB35" s="134">
        <v>10</v>
      </c>
      <c r="AC35" s="134">
        <v>6</v>
      </c>
      <c r="AD35" s="135">
        <v>4</v>
      </c>
      <c r="AE35" s="343" t="str">
        <f t="shared" si="8"/>
        <v xml:space="preserve"> </v>
      </c>
      <c r="AF35" s="344" t="str">
        <f t="shared" si="9"/>
        <v xml:space="preserve"> </v>
      </c>
      <c r="AG35" s="345" t="str">
        <f t="shared" si="10"/>
        <v xml:space="preserve"> </v>
      </c>
      <c r="AH35" s="211">
        <f t="shared" si="11"/>
        <v>6.666666666666667</v>
      </c>
      <c r="AJ35" s="515" t="str">
        <f t="shared" si="12"/>
        <v>Yes</v>
      </c>
      <c r="AK35" s="29" t="str">
        <f t="shared" si="13"/>
        <v>No</v>
      </c>
    </row>
    <row r="36" spans="1:166" ht="15" customHeight="1" x14ac:dyDescent="0.2">
      <c r="A36" s="1" t="s">
        <v>33</v>
      </c>
      <c r="B36" s="133"/>
      <c r="C36" s="133"/>
      <c r="D36" s="133"/>
      <c r="E36" s="133"/>
      <c r="F36" s="133"/>
      <c r="G36" s="133"/>
      <c r="H36" s="22"/>
      <c r="I36" s="22">
        <v>2</v>
      </c>
      <c r="J36" s="133">
        <v>6</v>
      </c>
      <c r="K36" s="133">
        <v>1</v>
      </c>
      <c r="L36" s="133">
        <v>5</v>
      </c>
      <c r="M36" s="133">
        <v>7</v>
      </c>
      <c r="N36" s="22">
        <v>5</v>
      </c>
      <c r="O36" s="386">
        <v>8</v>
      </c>
      <c r="P36" s="386">
        <v>9</v>
      </c>
      <c r="Q36" s="454">
        <v>4</v>
      </c>
      <c r="R36" s="454">
        <v>8</v>
      </c>
      <c r="S36" s="504">
        <v>6</v>
      </c>
      <c r="T36" s="454">
        <v>10</v>
      </c>
      <c r="U36" s="397">
        <v>12</v>
      </c>
      <c r="V36" s="134">
        <v>8</v>
      </c>
      <c r="W36" s="134">
        <v>5</v>
      </c>
      <c r="X36" s="22">
        <v>12</v>
      </c>
      <c r="Y36" s="22">
        <v>6</v>
      </c>
      <c r="Z36" s="134">
        <v>14</v>
      </c>
      <c r="AA36" s="134">
        <v>7</v>
      </c>
      <c r="AB36" s="134">
        <v>10</v>
      </c>
      <c r="AC36" s="134">
        <v>4</v>
      </c>
      <c r="AD36" s="135">
        <v>7</v>
      </c>
      <c r="AE36" s="343" t="str">
        <f t="shared" si="8"/>
        <v xml:space="preserve"> </v>
      </c>
      <c r="AF36" s="344" t="str">
        <f t="shared" si="9"/>
        <v xml:space="preserve"> </v>
      </c>
      <c r="AG36" s="345" t="str">
        <f t="shared" si="10"/>
        <v xml:space="preserve"> </v>
      </c>
      <c r="AH36" s="211">
        <f t="shared" si="11"/>
        <v>7</v>
      </c>
      <c r="AJ36" s="29" t="str">
        <f t="shared" si="12"/>
        <v>No</v>
      </c>
      <c r="AK36" s="29" t="str">
        <f t="shared" si="13"/>
        <v>No</v>
      </c>
    </row>
    <row r="37" spans="1:166" ht="15" hidden="1" customHeight="1" x14ac:dyDescent="0.2">
      <c r="A37" s="1" t="s">
        <v>50</v>
      </c>
      <c r="B37" s="133">
        <v>7</v>
      </c>
      <c r="C37" s="133">
        <v>4</v>
      </c>
      <c r="D37" s="133"/>
      <c r="E37" s="133"/>
      <c r="F37" s="133"/>
      <c r="G37" s="133"/>
      <c r="H37" s="22"/>
      <c r="I37" s="22"/>
      <c r="J37" s="133"/>
      <c r="K37" s="133"/>
      <c r="L37" s="133"/>
      <c r="M37" s="133"/>
      <c r="N37" s="22"/>
      <c r="O37" s="386"/>
      <c r="P37" s="386"/>
      <c r="Q37" s="454"/>
      <c r="R37" s="454"/>
      <c r="S37" s="504"/>
      <c r="T37" s="454"/>
      <c r="U37" s="397"/>
      <c r="V37" s="134"/>
      <c r="W37" s="134"/>
      <c r="X37" s="22"/>
      <c r="Y37" s="22"/>
      <c r="Z37" s="135"/>
      <c r="AA37" s="135"/>
      <c r="AB37" s="135"/>
      <c r="AC37" s="135"/>
      <c r="AD37" s="135"/>
      <c r="AE37" s="147" t="str">
        <f t="shared" si="8"/>
        <v xml:space="preserve"> </v>
      </c>
      <c r="AF37" s="148" t="str">
        <f t="shared" si="9"/>
        <v xml:space="preserve"> </v>
      </c>
      <c r="AG37" s="150" t="str">
        <f t="shared" si="10"/>
        <v xml:space="preserve"> </v>
      </c>
      <c r="AH37" s="149" t="str">
        <f t="shared" si="11"/>
        <v xml:space="preserve">  </v>
      </c>
    </row>
    <row r="38" spans="1:166" s="42" customFormat="1" ht="15" customHeight="1" thickBot="1" x14ac:dyDescent="0.25">
      <c r="A38" s="180" t="s">
        <v>88</v>
      </c>
      <c r="B38" s="99">
        <f t="shared" ref="B38:AD38" si="14">SUM(B18:B37)</f>
        <v>391</v>
      </c>
      <c r="C38" s="99">
        <f t="shared" si="14"/>
        <v>427</v>
      </c>
      <c r="D38" s="99">
        <f t="shared" si="14"/>
        <v>401</v>
      </c>
      <c r="E38" s="99">
        <f t="shared" si="14"/>
        <v>434</v>
      </c>
      <c r="F38" s="99">
        <f t="shared" si="14"/>
        <v>396</v>
      </c>
      <c r="G38" s="99">
        <f t="shared" si="14"/>
        <v>385</v>
      </c>
      <c r="H38" s="99">
        <f t="shared" si="14"/>
        <v>452</v>
      </c>
      <c r="I38" s="99">
        <f t="shared" si="14"/>
        <v>483</v>
      </c>
      <c r="J38" s="99">
        <f t="shared" si="14"/>
        <v>488</v>
      </c>
      <c r="K38" s="99">
        <f t="shared" si="14"/>
        <v>541</v>
      </c>
      <c r="L38" s="99">
        <f t="shared" si="14"/>
        <v>512</v>
      </c>
      <c r="M38" s="99">
        <f t="shared" si="14"/>
        <v>527</v>
      </c>
      <c r="N38" s="99">
        <f t="shared" si="14"/>
        <v>567</v>
      </c>
      <c r="O38" s="393">
        <f t="shared" si="14"/>
        <v>616</v>
      </c>
      <c r="P38" s="393">
        <f t="shared" si="14"/>
        <v>623</v>
      </c>
      <c r="Q38" s="462">
        <f t="shared" si="14"/>
        <v>662</v>
      </c>
      <c r="R38" s="462">
        <f>SUM(R18:R37)</f>
        <v>678</v>
      </c>
      <c r="S38" s="462">
        <f t="shared" si="14"/>
        <v>716</v>
      </c>
      <c r="T38" s="462">
        <f t="shared" si="14"/>
        <v>769</v>
      </c>
      <c r="U38" s="294">
        <f t="shared" si="14"/>
        <v>705</v>
      </c>
      <c r="V38" s="99">
        <f t="shared" si="14"/>
        <v>729</v>
      </c>
      <c r="W38" s="99">
        <f t="shared" si="14"/>
        <v>678</v>
      </c>
      <c r="X38" s="99">
        <f t="shared" si="14"/>
        <v>673</v>
      </c>
      <c r="Y38" s="99">
        <f t="shared" si="14"/>
        <v>657</v>
      </c>
      <c r="Z38" s="99">
        <f t="shared" si="14"/>
        <v>638</v>
      </c>
      <c r="AA38" s="99">
        <f t="shared" si="14"/>
        <v>664</v>
      </c>
      <c r="AB38" s="99">
        <f t="shared" si="14"/>
        <v>692</v>
      </c>
      <c r="AC38" s="99">
        <f t="shared" si="14"/>
        <v>575</v>
      </c>
      <c r="AD38" s="99">
        <f t="shared" si="14"/>
        <v>554</v>
      </c>
      <c r="AE38" s="181">
        <f t="shared" si="8"/>
        <v>-3.6521739130434785E-2</v>
      </c>
      <c r="AF38" s="182">
        <f t="shared" si="9"/>
        <v>-0.15677321156773211</v>
      </c>
      <c r="AG38" s="183">
        <f t="shared" si="10"/>
        <v>-0.27958387516254879</v>
      </c>
      <c r="AH38" s="99">
        <f t="shared" si="11"/>
        <v>607</v>
      </c>
      <c r="AI38" s="153"/>
      <c r="AJ38" s="155"/>
      <c r="AK38" s="155"/>
      <c r="AL38" s="155"/>
      <c r="AM38" s="155"/>
      <c r="AN38" s="155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</row>
    <row r="39" spans="1:166" ht="15" customHeight="1" thickTop="1" x14ac:dyDescent="0.2">
      <c r="A39" s="43" t="s">
        <v>89</v>
      </c>
      <c r="B39" s="44"/>
      <c r="C39" s="45"/>
      <c r="D39" s="4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47"/>
      <c r="Z39" s="47"/>
      <c r="AA39" s="47"/>
      <c r="AB39" s="47"/>
      <c r="AC39" s="47"/>
      <c r="AD39" s="47"/>
      <c r="AE39" s="47" t="str">
        <f t="shared" si="8"/>
        <v xml:space="preserve"> </v>
      </c>
      <c r="AF39" s="48" t="str">
        <f t="shared" si="9"/>
        <v xml:space="preserve"> </v>
      </c>
      <c r="AG39" s="310" t="str">
        <f t="shared" si="10"/>
        <v xml:space="preserve"> </v>
      </c>
      <c r="AH39" s="49" t="str">
        <f t="shared" si="11"/>
        <v xml:space="preserve">  </v>
      </c>
    </row>
    <row r="40" spans="1:166" ht="15" customHeight="1" x14ac:dyDescent="0.2">
      <c r="A40" s="191" t="s">
        <v>3</v>
      </c>
      <c r="B40" s="133">
        <v>78</v>
      </c>
      <c r="C40" s="133">
        <v>82</v>
      </c>
      <c r="D40" s="133">
        <v>104</v>
      </c>
      <c r="E40" s="133">
        <v>132</v>
      </c>
      <c r="F40" s="133">
        <v>106</v>
      </c>
      <c r="G40" s="133">
        <v>92</v>
      </c>
      <c r="H40" s="22">
        <v>92</v>
      </c>
      <c r="I40" s="22">
        <v>90</v>
      </c>
      <c r="J40" s="133">
        <v>104</v>
      </c>
      <c r="K40" s="133">
        <v>71</v>
      </c>
      <c r="L40" s="133">
        <v>82</v>
      </c>
      <c r="M40" s="133">
        <v>82</v>
      </c>
      <c r="N40" s="22">
        <v>91</v>
      </c>
      <c r="O40" s="385">
        <v>91</v>
      </c>
      <c r="P40" s="385">
        <v>85</v>
      </c>
      <c r="Q40" s="454">
        <v>93</v>
      </c>
      <c r="R40" s="460">
        <f>107+2</f>
        <v>109</v>
      </c>
      <c r="S40" s="504">
        <f>90+4</f>
        <v>94</v>
      </c>
      <c r="T40" s="454">
        <v>107</v>
      </c>
      <c r="U40" s="397">
        <v>110</v>
      </c>
      <c r="V40" s="134">
        <v>119</v>
      </c>
      <c r="W40" s="134">
        <v>119</v>
      </c>
      <c r="X40" s="22">
        <v>109</v>
      </c>
      <c r="Y40" s="22">
        <v>107</v>
      </c>
      <c r="Z40" s="134">
        <v>104</v>
      </c>
      <c r="AA40" s="134">
        <v>102</v>
      </c>
      <c r="AB40" s="134">
        <v>91</v>
      </c>
      <c r="AC40" s="134">
        <v>88</v>
      </c>
      <c r="AD40" s="135">
        <v>64</v>
      </c>
      <c r="AE40" s="343">
        <f t="shared" si="8"/>
        <v>-0.27272727272727271</v>
      </c>
      <c r="AF40" s="344">
        <f t="shared" si="9"/>
        <v>-0.40186915887850466</v>
      </c>
      <c r="AG40" s="345">
        <f t="shared" si="10"/>
        <v>-0.40186915887850466</v>
      </c>
      <c r="AH40" s="211">
        <f t="shared" si="11"/>
        <v>81</v>
      </c>
      <c r="AJ40" s="29" t="str">
        <f t="shared" ref="AJ40:AJ51" si="15">IF(AD40&lt;5,"Yes","No")</f>
        <v>No</v>
      </c>
      <c r="AK40" s="29" t="str">
        <f t="shared" ref="AK40:AK51" si="16">IF((AB40+AC40+AD40)&lt;15,"Yes","No")</f>
        <v>No</v>
      </c>
    </row>
    <row r="41" spans="1:166" ht="15" customHeight="1" x14ac:dyDescent="0.2">
      <c r="A41" s="191" t="s">
        <v>5</v>
      </c>
      <c r="B41" s="133">
        <v>11</v>
      </c>
      <c r="C41" s="133">
        <v>4</v>
      </c>
      <c r="D41" s="133">
        <v>9</v>
      </c>
      <c r="E41" s="133">
        <v>10</v>
      </c>
      <c r="F41" s="133">
        <v>11</v>
      </c>
      <c r="G41" s="133">
        <v>6</v>
      </c>
      <c r="H41" s="22">
        <v>13</v>
      </c>
      <c r="I41" s="22">
        <v>12</v>
      </c>
      <c r="J41" s="133">
        <v>10</v>
      </c>
      <c r="K41" s="133">
        <v>7</v>
      </c>
      <c r="L41" s="133">
        <v>12</v>
      </c>
      <c r="M41" s="133">
        <v>8</v>
      </c>
      <c r="N41" s="22">
        <v>9</v>
      </c>
      <c r="O41" s="386">
        <v>12</v>
      </c>
      <c r="P41" s="386">
        <v>10</v>
      </c>
      <c r="Q41" s="454">
        <v>11</v>
      </c>
      <c r="R41" s="454">
        <v>7</v>
      </c>
      <c r="S41" s="504">
        <v>13</v>
      </c>
      <c r="T41" s="454">
        <v>10</v>
      </c>
      <c r="U41" s="397">
        <v>14</v>
      </c>
      <c r="V41" s="134">
        <v>15</v>
      </c>
      <c r="W41" s="134">
        <v>20</v>
      </c>
      <c r="X41" s="22">
        <v>14</v>
      </c>
      <c r="Y41" s="22">
        <v>15</v>
      </c>
      <c r="Z41" s="134">
        <v>20</v>
      </c>
      <c r="AA41" s="134">
        <v>24</v>
      </c>
      <c r="AB41" s="134">
        <v>14</v>
      </c>
      <c r="AC41" s="134">
        <v>17</v>
      </c>
      <c r="AD41" s="135">
        <v>13</v>
      </c>
      <c r="AE41" s="343" t="str">
        <f t="shared" si="8"/>
        <v xml:space="preserve"> </v>
      </c>
      <c r="AF41" s="344" t="str">
        <f t="shared" si="9"/>
        <v xml:space="preserve"> </v>
      </c>
      <c r="AG41" s="345" t="str">
        <f t="shared" si="10"/>
        <v xml:space="preserve"> </v>
      </c>
      <c r="AH41" s="211">
        <f t="shared" si="11"/>
        <v>14.666666666666666</v>
      </c>
      <c r="AJ41" s="29" t="str">
        <f t="shared" si="15"/>
        <v>No</v>
      </c>
      <c r="AK41" s="29" t="str">
        <f t="shared" si="16"/>
        <v>No</v>
      </c>
    </row>
    <row r="42" spans="1:166" ht="15" customHeight="1" x14ac:dyDescent="0.2">
      <c r="A42" s="191" t="s">
        <v>6</v>
      </c>
      <c r="B42" s="133">
        <v>0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22">
        <v>1</v>
      </c>
      <c r="I42" s="22">
        <v>11</v>
      </c>
      <c r="J42" s="133">
        <v>6</v>
      </c>
      <c r="K42" s="133">
        <v>15</v>
      </c>
      <c r="L42" s="133">
        <v>15</v>
      </c>
      <c r="M42" s="133">
        <v>18</v>
      </c>
      <c r="N42" s="22">
        <v>10</v>
      </c>
      <c r="O42" s="386">
        <v>6</v>
      </c>
      <c r="P42" s="386">
        <v>16</v>
      </c>
      <c r="Q42" s="454">
        <v>9</v>
      </c>
      <c r="R42" s="454">
        <f>17+1</f>
        <v>18</v>
      </c>
      <c r="S42" s="504">
        <v>17</v>
      </c>
      <c r="T42" s="454">
        <v>11</v>
      </c>
      <c r="U42" s="397">
        <v>15</v>
      </c>
      <c r="V42" s="134">
        <v>26</v>
      </c>
      <c r="W42" s="134">
        <v>25</v>
      </c>
      <c r="X42" s="22">
        <v>31</v>
      </c>
      <c r="Y42" s="22">
        <v>36</v>
      </c>
      <c r="Z42" s="134">
        <v>36</v>
      </c>
      <c r="AA42" s="134">
        <v>39</v>
      </c>
      <c r="AB42" s="134">
        <v>26</v>
      </c>
      <c r="AC42" s="134">
        <v>29</v>
      </c>
      <c r="AD42" s="135">
        <v>31</v>
      </c>
      <c r="AE42" s="343">
        <f t="shared" si="8"/>
        <v>6.8965517241379309E-2</v>
      </c>
      <c r="AF42" s="344">
        <f t="shared" si="9"/>
        <v>-0.1388888888888889</v>
      </c>
      <c r="AG42" s="345">
        <f t="shared" si="10"/>
        <v>1.8181818181818181</v>
      </c>
      <c r="AH42" s="211">
        <f t="shared" si="11"/>
        <v>28.666666666666668</v>
      </c>
      <c r="AJ42" s="29" t="str">
        <f t="shared" si="15"/>
        <v>No</v>
      </c>
      <c r="AK42" s="29" t="str">
        <f t="shared" si="16"/>
        <v>No</v>
      </c>
    </row>
    <row r="43" spans="1:166" ht="15" customHeight="1" x14ac:dyDescent="0.25">
      <c r="A43" s="191" t="s">
        <v>159</v>
      </c>
      <c r="B43" s="133"/>
      <c r="C43" s="133"/>
      <c r="D43" s="133"/>
      <c r="E43" s="133"/>
      <c r="F43" s="133"/>
      <c r="G43" s="133"/>
      <c r="H43" s="22"/>
      <c r="I43" s="22"/>
      <c r="J43" s="133"/>
      <c r="K43" s="133"/>
      <c r="L43" s="133"/>
      <c r="M43" s="133"/>
      <c r="N43" s="22"/>
      <c r="O43" s="386"/>
      <c r="P43" s="386"/>
      <c r="Q43" s="454"/>
      <c r="R43" s="454"/>
      <c r="S43" s="504"/>
      <c r="T43" s="454">
        <v>0</v>
      </c>
      <c r="U43" s="397"/>
      <c r="V43" s="134"/>
      <c r="W43" s="134"/>
      <c r="X43" s="22"/>
      <c r="Y43" s="22">
        <v>0</v>
      </c>
      <c r="Z43" s="134">
        <v>0</v>
      </c>
      <c r="AA43" s="134">
        <v>0</v>
      </c>
      <c r="AB43" s="134">
        <v>0</v>
      </c>
      <c r="AC43" s="134">
        <v>0</v>
      </c>
      <c r="AD43" s="135">
        <v>4</v>
      </c>
      <c r="AE43" s="346"/>
      <c r="AF43" s="347"/>
      <c r="AG43" s="348"/>
      <c r="AH43" s="364" t="str">
        <f t="shared" si="11"/>
        <v xml:space="preserve">  </v>
      </c>
      <c r="AJ43" s="549" t="str">
        <f t="shared" si="15"/>
        <v>Yes</v>
      </c>
      <c r="AK43" s="549" t="str">
        <f t="shared" si="16"/>
        <v>Yes</v>
      </c>
      <c r="AL43" s="549" t="s">
        <v>163</v>
      </c>
      <c r="AM43" s="549"/>
      <c r="AN43" s="549"/>
    </row>
    <row r="44" spans="1:166" ht="15" customHeight="1" x14ac:dyDescent="0.2">
      <c r="A44" s="192" t="s">
        <v>66</v>
      </c>
      <c r="B44" s="176"/>
      <c r="C44" s="176"/>
      <c r="D44" s="176"/>
      <c r="E44" s="176"/>
      <c r="F44" s="176"/>
      <c r="G44" s="176">
        <v>0</v>
      </c>
      <c r="H44" s="177"/>
      <c r="I44" s="177"/>
      <c r="J44" s="176"/>
      <c r="K44" s="176"/>
      <c r="L44" s="176"/>
      <c r="M44" s="176">
        <v>0</v>
      </c>
      <c r="N44" s="177">
        <v>0</v>
      </c>
      <c r="O44" s="392">
        <v>0</v>
      </c>
      <c r="P44" s="392">
        <v>0</v>
      </c>
      <c r="Q44" s="461">
        <v>1</v>
      </c>
      <c r="R44" s="461">
        <v>1</v>
      </c>
      <c r="S44" s="508">
        <v>2</v>
      </c>
      <c r="T44" s="461">
        <v>10</v>
      </c>
      <c r="U44" s="402">
        <f>4+2</f>
        <v>6</v>
      </c>
      <c r="V44" s="152">
        <v>19</v>
      </c>
      <c r="W44" s="152">
        <f>4+2</f>
        <v>6</v>
      </c>
      <c r="X44" s="177">
        <v>7</v>
      </c>
      <c r="Y44" s="177">
        <v>11</v>
      </c>
      <c r="Z44" s="152">
        <v>9</v>
      </c>
      <c r="AA44" s="152">
        <v>17</v>
      </c>
      <c r="AB44" s="152">
        <v>10</v>
      </c>
      <c r="AC44" s="152">
        <v>16</v>
      </c>
      <c r="AD44" s="178">
        <v>6</v>
      </c>
      <c r="AE44" s="343" t="str">
        <f t="shared" si="8"/>
        <v xml:space="preserve"> </v>
      </c>
      <c r="AF44" s="344" t="str">
        <f t="shared" si="9"/>
        <v xml:space="preserve"> </v>
      </c>
      <c r="AG44" s="345" t="str">
        <f t="shared" si="10"/>
        <v xml:space="preserve"> </v>
      </c>
      <c r="AH44" s="211">
        <f t="shared" si="11"/>
        <v>10.666666666666666</v>
      </c>
      <c r="AJ44" s="29" t="str">
        <f t="shared" si="15"/>
        <v>No</v>
      </c>
      <c r="AK44" s="29" t="str">
        <f t="shared" si="16"/>
        <v>No</v>
      </c>
    </row>
    <row r="45" spans="1:166" ht="15" customHeight="1" x14ac:dyDescent="0.25">
      <c r="A45" s="191" t="s">
        <v>122</v>
      </c>
      <c r="B45" s="133">
        <v>6</v>
      </c>
      <c r="C45" s="133">
        <v>8</v>
      </c>
      <c r="D45" s="133">
        <v>12</v>
      </c>
      <c r="E45" s="133">
        <v>21</v>
      </c>
      <c r="F45" s="133">
        <v>15</v>
      </c>
      <c r="G45" s="133">
        <v>6</v>
      </c>
      <c r="H45" s="22">
        <v>13</v>
      </c>
      <c r="I45" s="22">
        <v>12</v>
      </c>
      <c r="J45" s="133">
        <v>10</v>
      </c>
      <c r="K45" s="133">
        <v>8</v>
      </c>
      <c r="L45" s="133">
        <v>10</v>
      </c>
      <c r="M45" s="133">
        <v>7</v>
      </c>
      <c r="N45" s="22">
        <v>4</v>
      </c>
      <c r="O45" s="386">
        <v>8</v>
      </c>
      <c r="P45" s="386">
        <v>5</v>
      </c>
      <c r="Q45" s="454">
        <v>2</v>
      </c>
      <c r="R45" s="454">
        <v>2</v>
      </c>
      <c r="S45" s="504">
        <v>0</v>
      </c>
      <c r="T45" s="454">
        <v>1</v>
      </c>
      <c r="U45" s="397">
        <v>0</v>
      </c>
      <c r="V45" s="134">
        <v>0</v>
      </c>
      <c r="W45" s="134">
        <v>1</v>
      </c>
      <c r="X45" s="22">
        <v>0</v>
      </c>
      <c r="Y45" s="22">
        <v>0</v>
      </c>
      <c r="Z45" s="134">
        <v>0</v>
      </c>
      <c r="AA45" s="134">
        <v>0</v>
      </c>
      <c r="AB45" s="134">
        <v>0</v>
      </c>
      <c r="AC45" s="134">
        <v>0</v>
      </c>
      <c r="AD45" s="135">
        <v>0</v>
      </c>
      <c r="AE45" s="343" t="str">
        <f t="shared" si="8"/>
        <v xml:space="preserve"> </v>
      </c>
      <c r="AF45" s="344" t="str">
        <f t="shared" si="9"/>
        <v xml:space="preserve"> </v>
      </c>
      <c r="AG45" s="345" t="str">
        <f t="shared" si="10"/>
        <v xml:space="preserve"> </v>
      </c>
      <c r="AH45" s="211" t="str">
        <f t="shared" si="11"/>
        <v xml:space="preserve">  </v>
      </c>
      <c r="AJ45" s="515" t="str">
        <f t="shared" si="15"/>
        <v>Yes</v>
      </c>
      <c r="AK45" s="515" t="str">
        <f t="shared" si="16"/>
        <v>Yes</v>
      </c>
      <c r="AL45" s="514" t="s">
        <v>164</v>
      </c>
    </row>
    <row r="46" spans="1:166" ht="15" customHeight="1" x14ac:dyDescent="0.2">
      <c r="A46" s="423" t="s">
        <v>15</v>
      </c>
      <c r="B46" s="139">
        <v>14</v>
      </c>
      <c r="C46" s="139">
        <v>31</v>
      </c>
      <c r="D46" s="139">
        <v>26</v>
      </c>
      <c r="E46" s="139">
        <v>22</v>
      </c>
      <c r="F46" s="139">
        <v>22</v>
      </c>
      <c r="G46" s="139">
        <v>22</v>
      </c>
      <c r="H46" s="27">
        <v>17</v>
      </c>
      <c r="I46" s="27">
        <v>22</v>
      </c>
      <c r="J46" s="139">
        <v>28</v>
      </c>
      <c r="K46" s="139">
        <v>13</v>
      </c>
      <c r="L46" s="139">
        <v>32</v>
      </c>
      <c r="M46" s="139">
        <v>20</v>
      </c>
      <c r="N46" s="27">
        <v>20</v>
      </c>
      <c r="O46" s="387">
        <v>34</v>
      </c>
      <c r="P46" s="387">
        <v>35</v>
      </c>
      <c r="Q46" s="455">
        <v>37</v>
      </c>
      <c r="R46" s="455">
        <f>28+1</f>
        <v>29</v>
      </c>
      <c r="S46" s="505">
        <f>31+1</f>
        <v>32</v>
      </c>
      <c r="T46" s="455">
        <v>30</v>
      </c>
      <c r="U46" s="398">
        <v>28</v>
      </c>
      <c r="V46" s="140">
        <v>38</v>
      </c>
      <c r="W46" s="140">
        <v>23</v>
      </c>
      <c r="X46" s="27">
        <v>35</v>
      </c>
      <c r="Y46" s="27">
        <v>31</v>
      </c>
      <c r="Z46" s="140">
        <v>30</v>
      </c>
      <c r="AA46" s="140">
        <v>25</v>
      </c>
      <c r="AB46" s="140">
        <v>23</v>
      </c>
      <c r="AC46" s="140">
        <v>15</v>
      </c>
      <c r="AD46" s="141">
        <v>15</v>
      </c>
      <c r="AE46" s="346" t="str">
        <f t="shared" si="8"/>
        <v xml:space="preserve"> </v>
      </c>
      <c r="AF46" s="347" t="str">
        <f t="shared" si="9"/>
        <v xml:space="preserve"> </v>
      </c>
      <c r="AG46" s="348" t="str">
        <f t="shared" si="10"/>
        <v xml:space="preserve"> </v>
      </c>
      <c r="AH46" s="364">
        <f t="shared" si="11"/>
        <v>17.666666666666668</v>
      </c>
      <c r="AJ46" s="29" t="str">
        <f t="shared" si="15"/>
        <v>No</v>
      </c>
      <c r="AK46" s="29" t="str">
        <f t="shared" si="16"/>
        <v>No</v>
      </c>
    </row>
    <row r="47" spans="1:166" ht="15" customHeight="1" x14ac:dyDescent="0.25">
      <c r="A47" s="191" t="s">
        <v>137</v>
      </c>
      <c r="B47" s="133"/>
      <c r="C47" s="133"/>
      <c r="D47" s="133"/>
      <c r="E47" s="133"/>
      <c r="F47" s="133"/>
      <c r="G47" s="133"/>
      <c r="H47" s="22"/>
      <c r="I47" s="22"/>
      <c r="J47" s="133"/>
      <c r="K47" s="133"/>
      <c r="L47" s="133"/>
      <c r="M47" s="133"/>
      <c r="N47" s="22"/>
      <c r="O47" s="386"/>
      <c r="P47" s="386"/>
      <c r="Q47" s="454"/>
      <c r="R47" s="454">
        <v>0</v>
      </c>
      <c r="S47" s="504"/>
      <c r="T47" s="454">
        <v>0</v>
      </c>
      <c r="U47" s="397"/>
      <c r="V47" s="134"/>
      <c r="W47" s="134">
        <v>0</v>
      </c>
      <c r="X47" s="22">
        <v>0</v>
      </c>
      <c r="Y47" s="22">
        <v>0</v>
      </c>
      <c r="Z47" s="134">
        <v>0</v>
      </c>
      <c r="AA47" s="134">
        <v>0</v>
      </c>
      <c r="AB47" s="134">
        <v>1</v>
      </c>
      <c r="AC47" s="134">
        <v>1</v>
      </c>
      <c r="AD47" s="135">
        <v>8</v>
      </c>
      <c r="AE47" s="343" t="str">
        <f t="shared" si="8"/>
        <v xml:space="preserve"> </v>
      </c>
      <c r="AF47" s="344" t="str">
        <f t="shared" si="9"/>
        <v xml:space="preserve"> </v>
      </c>
      <c r="AG47" s="345" t="str">
        <f t="shared" si="10"/>
        <v xml:space="preserve"> </v>
      </c>
      <c r="AH47" s="211">
        <f t="shared" si="11"/>
        <v>3.3333333333333335</v>
      </c>
      <c r="AJ47" s="549" t="str">
        <f t="shared" si="15"/>
        <v>No</v>
      </c>
      <c r="AK47" s="549" t="str">
        <f t="shared" si="16"/>
        <v>Yes</v>
      </c>
      <c r="AL47" s="549" t="s">
        <v>163</v>
      </c>
      <c r="AM47" s="549"/>
      <c r="AN47" s="549"/>
    </row>
    <row r="48" spans="1:166" ht="15" customHeight="1" x14ac:dyDescent="0.2">
      <c r="A48" s="193" t="s">
        <v>22</v>
      </c>
      <c r="B48" s="133">
        <v>21</v>
      </c>
      <c r="C48" s="133">
        <v>21</v>
      </c>
      <c r="D48" s="133">
        <v>24</v>
      </c>
      <c r="E48" s="133">
        <v>22</v>
      </c>
      <c r="F48" s="133">
        <v>21</v>
      </c>
      <c r="G48" s="133">
        <v>16</v>
      </c>
      <c r="H48" s="22">
        <v>27</v>
      </c>
      <c r="I48" s="22">
        <v>12</v>
      </c>
      <c r="J48" s="133">
        <v>22</v>
      </c>
      <c r="K48" s="133">
        <v>24</v>
      </c>
      <c r="L48" s="133">
        <v>22</v>
      </c>
      <c r="M48" s="133">
        <v>22</v>
      </c>
      <c r="N48" s="22">
        <v>24</v>
      </c>
      <c r="O48" s="386">
        <v>28</v>
      </c>
      <c r="P48" s="386">
        <v>14</v>
      </c>
      <c r="Q48" s="454">
        <v>19</v>
      </c>
      <c r="R48" s="454">
        <f>23+4</f>
        <v>27</v>
      </c>
      <c r="S48" s="504">
        <f>24+2</f>
        <v>26</v>
      </c>
      <c r="T48" s="454">
        <v>26</v>
      </c>
      <c r="U48" s="397">
        <f>30+1</f>
        <v>31</v>
      </c>
      <c r="V48" s="134">
        <v>33</v>
      </c>
      <c r="W48" s="134">
        <f>32+1</f>
        <v>33</v>
      </c>
      <c r="X48" s="22">
        <v>31</v>
      </c>
      <c r="Y48" s="22">
        <v>26</v>
      </c>
      <c r="Z48" s="134">
        <v>27</v>
      </c>
      <c r="AA48" s="134">
        <v>21</v>
      </c>
      <c r="AB48" s="134">
        <v>36</v>
      </c>
      <c r="AC48" s="134">
        <v>21</v>
      </c>
      <c r="AD48" s="135">
        <v>21</v>
      </c>
      <c r="AE48" s="343">
        <f t="shared" si="8"/>
        <v>0</v>
      </c>
      <c r="AF48" s="344">
        <f t="shared" si="9"/>
        <v>-0.19230769230769232</v>
      </c>
      <c r="AG48" s="345">
        <f t="shared" si="10"/>
        <v>-0.19230769230769232</v>
      </c>
      <c r="AH48" s="211">
        <f t="shared" si="11"/>
        <v>26</v>
      </c>
      <c r="AJ48" s="29" t="str">
        <f t="shared" si="15"/>
        <v>No</v>
      </c>
      <c r="AK48" s="29" t="str">
        <f t="shared" si="16"/>
        <v>No</v>
      </c>
    </row>
    <row r="49" spans="1:166" ht="15" customHeight="1" x14ac:dyDescent="0.2">
      <c r="A49" s="193" t="s">
        <v>26</v>
      </c>
      <c r="B49" s="133">
        <v>1</v>
      </c>
      <c r="C49" s="133">
        <v>5</v>
      </c>
      <c r="D49" s="133">
        <v>8</v>
      </c>
      <c r="E49" s="133">
        <v>5</v>
      </c>
      <c r="F49" s="133">
        <v>4</v>
      </c>
      <c r="G49" s="133">
        <v>9</v>
      </c>
      <c r="H49" s="22">
        <v>5</v>
      </c>
      <c r="I49" s="22">
        <v>8</v>
      </c>
      <c r="J49" s="133">
        <v>13</v>
      </c>
      <c r="K49" s="133">
        <v>8</v>
      </c>
      <c r="L49" s="133">
        <v>4</v>
      </c>
      <c r="M49" s="133">
        <v>12</v>
      </c>
      <c r="N49" s="22">
        <v>8</v>
      </c>
      <c r="O49" s="386">
        <v>13</v>
      </c>
      <c r="P49" s="386">
        <v>6</v>
      </c>
      <c r="Q49" s="454">
        <v>8</v>
      </c>
      <c r="R49" s="454">
        <v>7</v>
      </c>
      <c r="S49" s="504">
        <v>5</v>
      </c>
      <c r="T49" s="454">
        <v>11</v>
      </c>
      <c r="U49" s="397">
        <v>9</v>
      </c>
      <c r="V49" s="134">
        <v>12</v>
      </c>
      <c r="W49" s="134">
        <v>21</v>
      </c>
      <c r="X49" s="22">
        <v>18</v>
      </c>
      <c r="Y49" s="22">
        <v>30</v>
      </c>
      <c r="Z49" s="134">
        <v>12</v>
      </c>
      <c r="AA49" s="134">
        <v>20</v>
      </c>
      <c r="AB49" s="134">
        <v>14</v>
      </c>
      <c r="AC49" s="134">
        <v>9</v>
      </c>
      <c r="AD49" s="135">
        <v>8</v>
      </c>
      <c r="AE49" s="343" t="str">
        <f t="shared" si="8"/>
        <v xml:space="preserve"> </v>
      </c>
      <c r="AF49" s="344" t="str">
        <f t="shared" si="9"/>
        <v xml:space="preserve"> </v>
      </c>
      <c r="AG49" s="345" t="str">
        <f t="shared" si="10"/>
        <v xml:space="preserve"> </v>
      </c>
      <c r="AH49" s="211">
        <f t="shared" si="11"/>
        <v>10.333333333333334</v>
      </c>
      <c r="AJ49" s="29" t="str">
        <f t="shared" si="15"/>
        <v>No</v>
      </c>
      <c r="AK49" s="29" t="str">
        <f t="shared" si="16"/>
        <v>No</v>
      </c>
    </row>
    <row r="50" spans="1:166" ht="15" hidden="1" customHeight="1" x14ac:dyDescent="0.2">
      <c r="A50" s="194" t="s">
        <v>49</v>
      </c>
      <c r="B50" s="186">
        <v>8</v>
      </c>
      <c r="C50" s="186">
        <v>2</v>
      </c>
      <c r="D50" s="186"/>
      <c r="E50" s="186">
        <v>2</v>
      </c>
      <c r="F50" s="186">
        <v>0</v>
      </c>
      <c r="G50" s="186">
        <v>0</v>
      </c>
      <c r="H50" s="158">
        <v>0</v>
      </c>
      <c r="I50" s="158">
        <v>0</v>
      </c>
      <c r="J50" s="186">
        <v>0</v>
      </c>
      <c r="K50" s="186">
        <v>0</v>
      </c>
      <c r="L50" s="186">
        <v>0</v>
      </c>
      <c r="M50" s="186">
        <v>0</v>
      </c>
      <c r="N50" s="158">
        <v>0</v>
      </c>
      <c r="O50" s="394"/>
      <c r="P50" s="394"/>
      <c r="Q50" s="463"/>
      <c r="R50" s="463"/>
      <c r="S50" s="509"/>
      <c r="T50" s="463"/>
      <c r="U50" s="403"/>
      <c r="V50" s="145"/>
      <c r="W50" s="145"/>
      <c r="X50" s="158"/>
      <c r="Y50" s="158"/>
      <c r="Z50" s="145"/>
      <c r="AA50" s="145"/>
      <c r="AB50" s="145"/>
      <c r="AC50" s="145"/>
      <c r="AD50" s="144"/>
      <c r="AE50" s="343" t="str">
        <f t="shared" si="8"/>
        <v xml:space="preserve"> </v>
      </c>
      <c r="AF50" s="344" t="str">
        <f t="shared" si="9"/>
        <v xml:space="preserve"> </v>
      </c>
      <c r="AG50" s="345" t="str">
        <f t="shared" si="10"/>
        <v xml:space="preserve"> </v>
      </c>
      <c r="AH50" s="211" t="str">
        <f t="shared" si="11"/>
        <v xml:space="preserve">  </v>
      </c>
      <c r="AJ50" s="29" t="str">
        <f t="shared" si="15"/>
        <v>Yes</v>
      </c>
      <c r="AK50" s="29" t="str">
        <f t="shared" si="16"/>
        <v>Yes</v>
      </c>
    </row>
    <row r="51" spans="1:166" ht="15" customHeight="1" x14ac:dyDescent="0.25">
      <c r="A51" s="194" t="s">
        <v>132</v>
      </c>
      <c r="B51" s="186"/>
      <c r="C51" s="186"/>
      <c r="D51" s="186"/>
      <c r="E51" s="186"/>
      <c r="F51" s="186"/>
      <c r="G51" s="186"/>
      <c r="H51" s="158"/>
      <c r="I51" s="158"/>
      <c r="J51" s="186"/>
      <c r="K51" s="186"/>
      <c r="L51" s="186"/>
      <c r="M51" s="186"/>
      <c r="N51" s="158"/>
      <c r="O51" s="394"/>
      <c r="P51" s="394">
        <v>0</v>
      </c>
      <c r="Q51" s="463"/>
      <c r="R51" s="463">
        <v>0</v>
      </c>
      <c r="S51" s="509"/>
      <c r="T51" s="463">
        <v>0</v>
      </c>
      <c r="U51" s="403">
        <v>0</v>
      </c>
      <c r="V51" s="145">
        <v>0</v>
      </c>
      <c r="W51" s="145">
        <v>0</v>
      </c>
      <c r="X51" s="158">
        <v>0</v>
      </c>
      <c r="Y51" s="158">
        <v>0</v>
      </c>
      <c r="Z51" s="145">
        <v>1</v>
      </c>
      <c r="AA51" s="145">
        <v>6</v>
      </c>
      <c r="AB51" s="145">
        <v>1</v>
      </c>
      <c r="AC51" s="145">
        <v>6</v>
      </c>
      <c r="AD51" s="144">
        <v>5</v>
      </c>
      <c r="AE51" s="343" t="str">
        <f t="shared" si="8"/>
        <v xml:space="preserve"> </v>
      </c>
      <c r="AF51" s="344" t="str">
        <f t="shared" si="9"/>
        <v xml:space="preserve"> </v>
      </c>
      <c r="AG51" s="345" t="str">
        <f t="shared" si="10"/>
        <v xml:space="preserve"> </v>
      </c>
      <c r="AH51" s="211">
        <f t="shared" si="11"/>
        <v>4</v>
      </c>
      <c r="AJ51" s="29" t="str">
        <f t="shared" si="15"/>
        <v>No</v>
      </c>
      <c r="AK51" s="515" t="str">
        <f t="shared" si="16"/>
        <v>Yes</v>
      </c>
    </row>
    <row r="52" spans="1:166" s="42" customFormat="1" ht="15" customHeight="1" thickBot="1" x14ac:dyDescent="0.25">
      <c r="A52" s="50" t="s">
        <v>90</v>
      </c>
      <c r="B52" s="188">
        <f t="shared" ref="B52" si="17">SUM(B39:B50)</f>
        <v>139</v>
      </c>
      <c r="C52" s="188">
        <f t="shared" ref="C52:O52" si="18">SUM(C40:C50)</f>
        <v>153</v>
      </c>
      <c r="D52" s="188">
        <f t="shared" si="18"/>
        <v>183</v>
      </c>
      <c r="E52" s="188">
        <f t="shared" si="18"/>
        <v>214</v>
      </c>
      <c r="F52" s="188">
        <f t="shared" si="18"/>
        <v>179</v>
      </c>
      <c r="G52" s="188">
        <f t="shared" si="18"/>
        <v>151</v>
      </c>
      <c r="H52" s="188">
        <f t="shared" si="18"/>
        <v>168</v>
      </c>
      <c r="I52" s="188">
        <f t="shared" si="18"/>
        <v>167</v>
      </c>
      <c r="J52" s="188">
        <f t="shared" si="18"/>
        <v>193</v>
      </c>
      <c r="K52" s="188">
        <f t="shared" si="18"/>
        <v>146</v>
      </c>
      <c r="L52" s="188">
        <f t="shared" si="18"/>
        <v>177</v>
      </c>
      <c r="M52" s="188">
        <f t="shared" si="18"/>
        <v>169</v>
      </c>
      <c r="N52" s="188">
        <f t="shared" si="18"/>
        <v>166</v>
      </c>
      <c r="O52" s="395">
        <f t="shared" si="18"/>
        <v>192</v>
      </c>
      <c r="P52" s="416">
        <f t="shared" ref="P52:Q52" si="19">SUM(P40:P51)</f>
        <v>171</v>
      </c>
      <c r="Q52" s="464">
        <f t="shared" si="19"/>
        <v>180</v>
      </c>
      <c r="R52" s="464">
        <f>SUM(R40:R51)</f>
        <v>200</v>
      </c>
      <c r="S52" s="464">
        <f>SUM(S40:S51)</f>
        <v>189</v>
      </c>
      <c r="T52" s="464">
        <f>SUM(T40:T51)</f>
        <v>206</v>
      </c>
      <c r="U52" s="289">
        <f>SUM(U40:U51)</f>
        <v>213</v>
      </c>
      <c r="V52" s="188">
        <f t="shared" ref="V52:AD52" si="20">SUM(V40:V51)</f>
        <v>262</v>
      </c>
      <c r="W52" s="188">
        <f>SUM(W40:W51)</f>
        <v>248</v>
      </c>
      <c r="X52" s="188">
        <f t="shared" si="20"/>
        <v>245</v>
      </c>
      <c r="Y52" s="188">
        <f t="shared" si="20"/>
        <v>256</v>
      </c>
      <c r="Z52" s="188">
        <f t="shared" si="20"/>
        <v>239</v>
      </c>
      <c r="AA52" s="188">
        <f t="shared" si="20"/>
        <v>254</v>
      </c>
      <c r="AB52" s="188">
        <f t="shared" si="20"/>
        <v>216</v>
      </c>
      <c r="AC52" s="188">
        <f t="shared" si="20"/>
        <v>202</v>
      </c>
      <c r="AD52" s="188">
        <f t="shared" si="20"/>
        <v>175</v>
      </c>
      <c r="AE52" s="311">
        <f t="shared" si="8"/>
        <v>-0.13366336633663367</v>
      </c>
      <c r="AF52" s="189">
        <f t="shared" si="9"/>
        <v>-0.31640625</v>
      </c>
      <c r="AG52" s="190">
        <f t="shared" si="10"/>
        <v>-0.15048543689320387</v>
      </c>
      <c r="AH52" s="312">
        <f t="shared" si="11"/>
        <v>197.66666666666666</v>
      </c>
      <c r="AI52" s="153"/>
      <c r="AJ52" s="155"/>
      <c r="AK52" s="155"/>
      <c r="AL52" s="155"/>
      <c r="AM52" s="155"/>
      <c r="AN52" s="155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</row>
    <row r="53" spans="1:166" s="42" customFormat="1" ht="15" customHeight="1" thickTop="1" x14ac:dyDescent="0.2">
      <c r="A53" s="52" t="s">
        <v>91</v>
      </c>
      <c r="B53" s="53"/>
      <c r="C53" s="54"/>
      <c r="D53" s="54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56"/>
      <c r="Z53" s="56"/>
      <c r="AA53" s="56"/>
      <c r="AB53" s="56"/>
      <c r="AC53" s="56"/>
      <c r="AD53" s="56"/>
      <c r="AE53" s="56"/>
      <c r="AF53" s="57"/>
      <c r="AG53" s="57"/>
      <c r="AH53" s="330"/>
      <c r="AI53" s="153"/>
      <c r="AJ53" s="155"/>
      <c r="AK53" s="155"/>
      <c r="AL53" s="155"/>
      <c r="AM53" s="155"/>
      <c r="AN53" s="155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</row>
    <row r="54" spans="1:166" ht="15" customHeight="1" x14ac:dyDescent="0.2">
      <c r="A54" s="17" t="s">
        <v>1</v>
      </c>
      <c r="B54" s="133">
        <v>62</v>
      </c>
      <c r="C54" s="133">
        <v>49</v>
      </c>
      <c r="D54" s="133">
        <v>55</v>
      </c>
      <c r="E54" s="133">
        <v>60</v>
      </c>
      <c r="F54" s="133">
        <v>42</v>
      </c>
      <c r="G54" s="133">
        <v>26</v>
      </c>
      <c r="H54" s="22">
        <v>46</v>
      </c>
      <c r="I54" s="22">
        <v>30</v>
      </c>
      <c r="J54" s="133">
        <v>25</v>
      </c>
      <c r="K54" s="133">
        <v>32</v>
      </c>
      <c r="L54" s="133">
        <v>34</v>
      </c>
      <c r="M54" s="133">
        <v>40</v>
      </c>
      <c r="N54" s="22">
        <v>38</v>
      </c>
      <c r="O54" s="385">
        <v>30</v>
      </c>
      <c r="P54" s="385">
        <v>61</v>
      </c>
      <c r="Q54" s="454">
        <v>60</v>
      </c>
      <c r="R54" s="460">
        <v>53</v>
      </c>
      <c r="S54" s="504">
        <f>46+1</f>
        <v>47</v>
      </c>
      <c r="T54" s="454">
        <v>44</v>
      </c>
      <c r="U54" s="397">
        <f>56+1</f>
        <v>57</v>
      </c>
      <c r="V54" s="134">
        <v>53</v>
      </c>
      <c r="W54" s="134">
        <f>66+3</f>
        <v>69</v>
      </c>
      <c r="X54" s="22">
        <v>81</v>
      </c>
      <c r="Y54" s="22">
        <v>60</v>
      </c>
      <c r="Z54" s="134">
        <v>40</v>
      </c>
      <c r="AA54" s="134">
        <v>63</v>
      </c>
      <c r="AB54" s="134">
        <v>46</v>
      </c>
      <c r="AC54" s="134">
        <v>37</v>
      </c>
      <c r="AD54" s="135">
        <v>41</v>
      </c>
      <c r="AE54" s="136">
        <f t="shared" ref="AE54:AE63" si="21">IF(AD54=0," ",IF(AH54&gt;20,(AD54-AC54)/AC54," "))</f>
        <v>0.10810810810810811</v>
      </c>
      <c r="AF54" s="302">
        <f t="shared" ref="AF54:AF63" si="22">IF(AD54=0," ",IF(AH54&gt;20,(AD54-Y54)/Y54," "))</f>
        <v>-0.31666666666666665</v>
      </c>
      <c r="AG54" s="303">
        <f t="shared" ref="AG54:AG63" si="23">IF(AD54=0," ",(IF(AH54&gt;20,(AD54-T54)/T54," ")))</f>
        <v>-6.8181818181818177E-2</v>
      </c>
      <c r="AH54" s="211">
        <f t="shared" ref="AH54:AH63" si="24">IF(AB54&gt;0,AVERAGE(AB54:AD54),"  ")</f>
        <v>41.333333333333336</v>
      </c>
      <c r="AJ54" s="29" t="str">
        <f t="shared" ref="AJ54:AJ62" si="25">IF(AD54&lt;5,"Yes","No")</f>
        <v>No</v>
      </c>
      <c r="AK54" s="29" t="str">
        <f t="shared" ref="AK54:AK62" si="26">IF((AB54+AC54+AD54)&lt;15,"Yes","No")</f>
        <v>No</v>
      </c>
    </row>
    <row r="55" spans="1:166" ht="15" customHeight="1" x14ac:dyDescent="0.25">
      <c r="A55" s="17" t="s">
        <v>4</v>
      </c>
      <c r="B55" s="133">
        <v>117</v>
      </c>
      <c r="C55" s="133">
        <v>114</v>
      </c>
      <c r="D55" s="133">
        <v>129</v>
      </c>
      <c r="E55" s="133">
        <v>134</v>
      </c>
      <c r="F55" s="133">
        <v>153</v>
      </c>
      <c r="G55" s="133">
        <v>141</v>
      </c>
      <c r="H55" s="22">
        <v>181</v>
      </c>
      <c r="I55" s="22">
        <v>171</v>
      </c>
      <c r="J55" s="133">
        <v>168</v>
      </c>
      <c r="K55" s="133">
        <v>100</v>
      </c>
      <c r="L55" s="133">
        <v>29</v>
      </c>
      <c r="M55" s="133">
        <v>16</v>
      </c>
      <c r="N55" s="22">
        <v>10</v>
      </c>
      <c r="O55" s="386">
        <v>14</v>
      </c>
      <c r="P55" s="386">
        <v>26</v>
      </c>
      <c r="Q55" s="454">
        <v>26</v>
      </c>
      <c r="R55" s="454">
        <v>20</v>
      </c>
      <c r="S55" s="504">
        <f>23+1</f>
        <v>24</v>
      </c>
      <c r="T55" s="454">
        <v>18</v>
      </c>
      <c r="U55" s="397">
        <v>21</v>
      </c>
      <c r="V55" s="134">
        <v>10</v>
      </c>
      <c r="W55" s="134">
        <v>12</v>
      </c>
      <c r="X55" s="22">
        <v>1</v>
      </c>
      <c r="Y55" s="22">
        <v>0</v>
      </c>
      <c r="Z55" s="134">
        <v>0</v>
      </c>
      <c r="AA55" s="134">
        <v>0</v>
      </c>
      <c r="AB55" s="134">
        <v>0</v>
      </c>
      <c r="AC55" s="134">
        <v>0</v>
      </c>
      <c r="AD55" s="135">
        <v>0</v>
      </c>
      <c r="AE55" s="136" t="str">
        <f t="shared" si="21"/>
        <v xml:space="preserve"> </v>
      </c>
      <c r="AF55" s="302" t="str">
        <f t="shared" si="22"/>
        <v xml:space="preserve"> </v>
      </c>
      <c r="AG55" s="303" t="str">
        <f t="shared" si="23"/>
        <v xml:space="preserve"> </v>
      </c>
      <c r="AH55" s="211" t="str">
        <f t="shared" si="24"/>
        <v xml:space="preserve">  </v>
      </c>
      <c r="AJ55" s="515" t="str">
        <f t="shared" si="25"/>
        <v>Yes</v>
      </c>
      <c r="AK55" s="515" t="str">
        <f t="shared" si="26"/>
        <v>Yes</v>
      </c>
      <c r="AL55" s="514" t="s">
        <v>151</v>
      </c>
    </row>
    <row r="56" spans="1:166" ht="15" customHeight="1" x14ac:dyDescent="0.25">
      <c r="A56" s="32" t="s">
        <v>123</v>
      </c>
      <c r="B56" s="133"/>
      <c r="C56" s="133"/>
      <c r="D56" s="133"/>
      <c r="E56" s="133"/>
      <c r="F56" s="133"/>
      <c r="G56" s="133"/>
      <c r="H56" s="22"/>
      <c r="I56" s="22"/>
      <c r="J56" s="133"/>
      <c r="K56" s="133"/>
      <c r="L56" s="133"/>
      <c r="M56" s="133"/>
      <c r="N56" s="22"/>
      <c r="O56" s="386"/>
      <c r="P56" s="386"/>
      <c r="Q56" s="454"/>
      <c r="R56" s="454">
        <v>0</v>
      </c>
      <c r="S56" s="504"/>
      <c r="T56" s="454">
        <v>0</v>
      </c>
      <c r="U56" s="397"/>
      <c r="V56" s="134">
        <v>2</v>
      </c>
      <c r="W56" s="134">
        <v>3</v>
      </c>
      <c r="X56" s="22">
        <v>8</v>
      </c>
      <c r="Y56" s="22">
        <v>10</v>
      </c>
      <c r="Z56" s="134">
        <v>13</v>
      </c>
      <c r="AA56" s="134">
        <v>8</v>
      </c>
      <c r="AB56" s="134">
        <v>5</v>
      </c>
      <c r="AC56" s="134">
        <v>5</v>
      </c>
      <c r="AD56" s="135">
        <v>4</v>
      </c>
      <c r="AE56" s="136" t="str">
        <f t="shared" si="21"/>
        <v xml:space="preserve"> </v>
      </c>
      <c r="AF56" s="302" t="str">
        <f t="shared" si="22"/>
        <v xml:space="preserve"> </v>
      </c>
      <c r="AG56" s="303" t="str">
        <f t="shared" si="23"/>
        <v xml:space="preserve"> </v>
      </c>
      <c r="AH56" s="211">
        <f t="shared" si="24"/>
        <v>4.666666666666667</v>
      </c>
      <c r="AJ56" s="515" t="str">
        <f t="shared" si="25"/>
        <v>Yes</v>
      </c>
      <c r="AK56" s="515" t="str">
        <f t="shared" si="26"/>
        <v>Yes</v>
      </c>
    </row>
    <row r="57" spans="1:166" ht="15" customHeight="1" x14ac:dyDescent="0.2">
      <c r="A57" s="25" t="s">
        <v>8</v>
      </c>
      <c r="B57" s="176">
        <v>8</v>
      </c>
      <c r="C57" s="176">
        <v>14</v>
      </c>
      <c r="D57" s="176">
        <v>6</v>
      </c>
      <c r="E57" s="176">
        <v>14</v>
      </c>
      <c r="F57" s="176">
        <v>1</v>
      </c>
      <c r="G57" s="176">
        <v>6</v>
      </c>
      <c r="H57" s="177">
        <v>11</v>
      </c>
      <c r="I57" s="177">
        <v>2</v>
      </c>
      <c r="J57" s="176">
        <v>2</v>
      </c>
      <c r="K57" s="176">
        <v>3</v>
      </c>
      <c r="L57" s="176">
        <v>8</v>
      </c>
      <c r="M57" s="176">
        <v>8</v>
      </c>
      <c r="N57" s="177">
        <v>5</v>
      </c>
      <c r="O57" s="392">
        <v>10</v>
      </c>
      <c r="P57" s="392">
        <v>6</v>
      </c>
      <c r="Q57" s="461">
        <v>16</v>
      </c>
      <c r="R57" s="461">
        <f>10+2</f>
        <v>12</v>
      </c>
      <c r="S57" s="508">
        <v>17</v>
      </c>
      <c r="T57" s="461">
        <v>13</v>
      </c>
      <c r="U57" s="402">
        <v>15</v>
      </c>
      <c r="V57" s="152">
        <v>20</v>
      </c>
      <c r="W57" s="152">
        <f>11+3</f>
        <v>14</v>
      </c>
      <c r="X57" s="177">
        <v>18</v>
      </c>
      <c r="Y57" s="177">
        <v>26</v>
      </c>
      <c r="Z57" s="152">
        <v>10</v>
      </c>
      <c r="AA57" s="152">
        <v>22</v>
      </c>
      <c r="AB57" s="152">
        <v>18</v>
      </c>
      <c r="AC57" s="152">
        <v>8</v>
      </c>
      <c r="AD57" s="178">
        <v>14</v>
      </c>
      <c r="AE57" s="187" t="str">
        <f t="shared" si="21"/>
        <v xml:space="preserve"> </v>
      </c>
      <c r="AF57" s="306" t="str">
        <f t="shared" si="22"/>
        <v xml:space="preserve"> </v>
      </c>
      <c r="AG57" s="307" t="str">
        <f t="shared" si="23"/>
        <v xml:space="preserve"> </v>
      </c>
      <c r="AH57" s="363">
        <f t="shared" si="24"/>
        <v>13.333333333333334</v>
      </c>
      <c r="AJ57" s="29" t="str">
        <f t="shared" si="25"/>
        <v>No</v>
      </c>
      <c r="AK57" s="29" t="str">
        <f t="shared" si="26"/>
        <v>No</v>
      </c>
    </row>
    <row r="58" spans="1:166" ht="15" customHeight="1" x14ac:dyDescent="0.2">
      <c r="A58" s="17" t="s">
        <v>13</v>
      </c>
      <c r="B58" s="133"/>
      <c r="C58" s="133"/>
      <c r="D58" s="133"/>
      <c r="E58" s="133"/>
      <c r="F58" s="133"/>
      <c r="G58" s="133"/>
      <c r="H58" s="22"/>
      <c r="I58" s="22"/>
      <c r="J58" s="133">
        <v>23</v>
      </c>
      <c r="K58" s="133">
        <v>28</v>
      </c>
      <c r="L58" s="133">
        <v>42</v>
      </c>
      <c r="M58" s="133">
        <v>59</v>
      </c>
      <c r="N58" s="22">
        <v>66</v>
      </c>
      <c r="O58" s="386">
        <v>61</v>
      </c>
      <c r="P58" s="386">
        <v>90</v>
      </c>
      <c r="Q58" s="454">
        <v>90</v>
      </c>
      <c r="R58" s="454">
        <f>48+7</f>
        <v>55</v>
      </c>
      <c r="S58" s="504">
        <f>58+5</f>
        <v>63</v>
      </c>
      <c r="T58" s="454">
        <v>43</v>
      </c>
      <c r="U58" s="397">
        <f>48+6</f>
        <v>54</v>
      </c>
      <c r="V58" s="134">
        <v>46</v>
      </c>
      <c r="W58" s="134">
        <f>49+3</f>
        <v>52</v>
      </c>
      <c r="X58" s="22">
        <v>75</v>
      </c>
      <c r="Y58" s="22">
        <v>56</v>
      </c>
      <c r="Z58" s="134">
        <v>66</v>
      </c>
      <c r="AA58" s="134">
        <v>56</v>
      </c>
      <c r="AB58" s="134">
        <v>64</v>
      </c>
      <c r="AC58" s="134">
        <v>55</v>
      </c>
      <c r="AD58" s="135">
        <v>44</v>
      </c>
      <c r="AE58" s="136">
        <f t="shared" si="21"/>
        <v>-0.2</v>
      </c>
      <c r="AF58" s="302">
        <f t="shared" si="22"/>
        <v>-0.21428571428571427</v>
      </c>
      <c r="AG58" s="303">
        <f t="shared" si="23"/>
        <v>2.3255813953488372E-2</v>
      </c>
      <c r="AH58" s="211">
        <f t="shared" si="24"/>
        <v>54.333333333333336</v>
      </c>
      <c r="AJ58" s="29" t="str">
        <f t="shared" si="25"/>
        <v>No</v>
      </c>
      <c r="AK58" s="29" t="str">
        <f t="shared" si="26"/>
        <v>No</v>
      </c>
    </row>
    <row r="59" spans="1:166" ht="15" customHeight="1" x14ac:dyDescent="0.2">
      <c r="A59" s="18" t="s">
        <v>75</v>
      </c>
      <c r="B59" s="139">
        <v>22</v>
      </c>
      <c r="C59" s="139">
        <v>16</v>
      </c>
      <c r="D59" s="139">
        <v>22</v>
      </c>
      <c r="E59" s="139">
        <v>38</v>
      </c>
      <c r="F59" s="139">
        <v>36</v>
      </c>
      <c r="G59" s="139">
        <v>33</v>
      </c>
      <c r="H59" s="27">
        <v>56</v>
      </c>
      <c r="I59" s="27">
        <v>69</v>
      </c>
      <c r="J59" s="139">
        <v>65</v>
      </c>
      <c r="K59" s="139">
        <v>36</v>
      </c>
      <c r="L59" s="139">
        <v>38</v>
      </c>
      <c r="M59" s="139">
        <v>25</v>
      </c>
      <c r="N59" s="27">
        <v>25</v>
      </c>
      <c r="O59" s="387">
        <v>29</v>
      </c>
      <c r="P59" s="387">
        <v>21</v>
      </c>
      <c r="Q59" s="455">
        <v>27</v>
      </c>
      <c r="R59" s="455">
        <f>32+3</f>
        <v>35</v>
      </c>
      <c r="S59" s="505">
        <f>49+5</f>
        <v>54</v>
      </c>
      <c r="T59" s="455">
        <v>64</v>
      </c>
      <c r="U59" s="398">
        <f>56+8</f>
        <v>64</v>
      </c>
      <c r="V59" s="140">
        <v>67</v>
      </c>
      <c r="W59" s="140">
        <f>38+16</f>
        <v>54</v>
      </c>
      <c r="X59" s="27">
        <v>59</v>
      </c>
      <c r="Y59" s="27">
        <v>56</v>
      </c>
      <c r="Z59" s="140">
        <v>68</v>
      </c>
      <c r="AA59" s="140">
        <v>51</v>
      </c>
      <c r="AB59" s="140">
        <v>66</v>
      </c>
      <c r="AC59" s="140">
        <v>48</v>
      </c>
      <c r="AD59" s="141">
        <v>55</v>
      </c>
      <c r="AE59" s="142">
        <f t="shared" si="21"/>
        <v>0.14583333333333334</v>
      </c>
      <c r="AF59" s="308">
        <f t="shared" si="22"/>
        <v>-1.7857142857142856E-2</v>
      </c>
      <c r="AG59" s="309">
        <f t="shared" si="23"/>
        <v>-0.140625</v>
      </c>
      <c r="AH59" s="364">
        <f t="shared" si="24"/>
        <v>56.333333333333336</v>
      </c>
      <c r="AJ59" s="29" t="str">
        <f t="shared" si="25"/>
        <v>No</v>
      </c>
      <c r="AK59" s="29" t="str">
        <f t="shared" si="26"/>
        <v>No</v>
      </c>
    </row>
    <row r="60" spans="1:166" ht="15" customHeight="1" x14ac:dyDescent="0.25">
      <c r="A60" s="1" t="s">
        <v>124</v>
      </c>
      <c r="B60" s="133"/>
      <c r="C60" s="133"/>
      <c r="D60" s="133"/>
      <c r="E60" s="133"/>
      <c r="F60" s="133"/>
      <c r="G60" s="133"/>
      <c r="H60" s="22"/>
      <c r="I60" s="22"/>
      <c r="J60" s="133"/>
      <c r="K60" s="133"/>
      <c r="L60" s="133"/>
      <c r="M60" s="133"/>
      <c r="N60" s="22"/>
      <c r="O60" s="386"/>
      <c r="P60" s="386"/>
      <c r="Q60" s="454"/>
      <c r="R60" s="454">
        <v>0</v>
      </c>
      <c r="S60" s="504"/>
      <c r="T60" s="454">
        <v>0</v>
      </c>
      <c r="U60" s="397"/>
      <c r="V60" s="134"/>
      <c r="W60" s="134">
        <v>2</v>
      </c>
      <c r="X60" s="22">
        <v>5</v>
      </c>
      <c r="Y60" s="22">
        <v>1</v>
      </c>
      <c r="Z60" s="134">
        <v>3</v>
      </c>
      <c r="AA60" s="134">
        <v>3</v>
      </c>
      <c r="AB60" s="134">
        <v>2</v>
      </c>
      <c r="AC60" s="134">
        <v>2</v>
      </c>
      <c r="AD60" s="135">
        <v>9</v>
      </c>
      <c r="AE60" s="136" t="str">
        <f t="shared" si="21"/>
        <v xml:space="preserve"> </v>
      </c>
      <c r="AF60" s="302" t="str">
        <f t="shared" si="22"/>
        <v xml:space="preserve"> </v>
      </c>
      <c r="AG60" s="303" t="str">
        <f t="shared" si="23"/>
        <v xml:space="preserve"> </v>
      </c>
      <c r="AH60" s="211">
        <f t="shared" si="24"/>
        <v>4.333333333333333</v>
      </c>
      <c r="AJ60" s="29" t="str">
        <f t="shared" si="25"/>
        <v>No</v>
      </c>
      <c r="AK60" s="515" t="str">
        <f t="shared" si="26"/>
        <v>Yes</v>
      </c>
    </row>
    <row r="61" spans="1:166" ht="15" customHeight="1" x14ac:dyDescent="0.2">
      <c r="A61" s="17" t="s">
        <v>20</v>
      </c>
      <c r="B61" s="133"/>
      <c r="C61" s="133"/>
      <c r="D61" s="133"/>
      <c r="E61" s="133"/>
      <c r="F61" s="133"/>
      <c r="G61" s="133"/>
      <c r="H61" s="22"/>
      <c r="I61" s="22"/>
      <c r="J61" s="133">
        <v>1</v>
      </c>
      <c r="K61" s="133">
        <v>20</v>
      </c>
      <c r="L61" s="133">
        <v>54</v>
      </c>
      <c r="M61" s="133">
        <v>91</v>
      </c>
      <c r="N61" s="22">
        <v>95</v>
      </c>
      <c r="O61" s="386">
        <v>91</v>
      </c>
      <c r="P61" s="386">
        <v>102</v>
      </c>
      <c r="Q61" s="454">
        <v>103</v>
      </c>
      <c r="R61" s="454">
        <f>101+4</f>
        <v>105</v>
      </c>
      <c r="S61" s="504">
        <f>95+3</f>
        <v>98</v>
      </c>
      <c r="T61" s="454">
        <v>89</v>
      </c>
      <c r="U61" s="397">
        <f>95+4</f>
        <v>99</v>
      </c>
      <c r="V61" s="134">
        <v>108</v>
      </c>
      <c r="W61" s="134">
        <v>109</v>
      </c>
      <c r="X61" s="22">
        <v>98</v>
      </c>
      <c r="Y61" s="22">
        <v>94</v>
      </c>
      <c r="Z61" s="134">
        <v>101</v>
      </c>
      <c r="AA61" s="134">
        <v>96</v>
      </c>
      <c r="AB61" s="134">
        <v>94</v>
      </c>
      <c r="AC61" s="134">
        <v>74</v>
      </c>
      <c r="AD61" s="135">
        <v>92</v>
      </c>
      <c r="AE61" s="136">
        <f t="shared" si="21"/>
        <v>0.24324324324324326</v>
      </c>
      <c r="AF61" s="302">
        <f t="shared" si="22"/>
        <v>-2.1276595744680851E-2</v>
      </c>
      <c r="AG61" s="303">
        <f t="shared" si="23"/>
        <v>3.3707865168539325E-2</v>
      </c>
      <c r="AH61" s="211">
        <f t="shared" si="24"/>
        <v>86.666666666666671</v>
      </c>
      <c r="AJ61" s="29" t="str">
        <f t="shared" si="25"/>
        <v>No</v>
      </c>
      <c r="AK61" s="545" t="str">
        <f t="shared" si="26"/>
        <v>No</v>
      </c>
    </row>
    <row r="62" spans="1:166" ht="15" customHeight="1" x14ac:dyDescent="0.2">
      <c r="A62" s="17" t="s">
        <v>21</v>
      </c>
      <c r="B62" s="133"/>
      <c r="C62" s="133"/>
      <c r="D62" s="133"/>
      <c r="E62" s="133"/>
      <c r="F62" s="133"/>
      <c r="G62" s="133"/>
      <c r="H62" s="22"/>
      <c r="I62" s="22"/>
      <c r="J62" s="133">
        <v>11</v>
      </c>
      <c r="K62" s="133">
        <v>37</v>
      </c>
      <c r="L62" s="133">
        <v>61</v>
      </c>
      <c r="M62" s="133">
        <v>54</v>
      </c>
      <c r="N62" s="22">
        <v>68</v>
      </c>
      <c r="O62" s="386">
        <v>100</v>
      </c>
      <c r="P62" s="386">
        <v>93</v>
      </c>
      <c r="Q62" s="454">
        <v>72</v>
      </c>
      <c r="R62" s="454">
        <f>47+3</f>
        <v>50</v>
      </c>
      <c r="S62" s="504">
        <f>51+2</f>
        <v>53</v>
      </c>
      <c r="T62" s="454">
        <v>57</v>
      </c>
      <c r="U62" s="397">
        <f>45+3</f>
        <v>48</v>
      </c>
      <c r="V62" s="134">
        <v>70</v>
      </c>
      <c r="W62" s="134">
        <v>72</v>
      </c>
      <c r="X62" s="22">
        <v>78</v>
      </c>
      <c r="Y62" s="22">
        <v>81</v>
      </c>
      <c r="Z62" s="134">
        <v>79</v>
      </c>
      <c r="AA62" s="134">
        <v>85</v>
      </c>
      <c r="AB62" s="134">
        <v>107</v>
      </c>
      <c r="AC62" s="134">
        <v>67</v>
      </c>
      <c r="AD62" s="135">
        <v>86</v>
      </c>
      <c r="AE62" s="136">
        <f t="shared" si="21"/>
        <v>0.28358208955223879</v>
      </c>
      <c r="AF62" s="302">
        <f t="shared" si="22"/>
        <v>6.1728395061728392E-2</v>
      </c>
      <c r="AG62" s="303">
        <f t="shared" si="23"/>
        <v>0.50877192982456143</v>
      </c>
      <c r="AH62" s="211">
        <f t="shared" si="24"/>
        <v>86.666666666666671</v>
      </c>
      <c r="AJ62" s="29" t="str">
        <f t="shared" si="25"/>
        <v>No</v>
      </c>
      <c r="AK62" s="29" t="str">
        <f t="shared" si="26"/>
        <v>No</v>
      </c>
    </row>
    <row r="63" spans="1:166" s="42" customFormat="1" ht="15" customHeight="1" thickBot="1" x14ac:dyDescent="0.25">
      <c r="A63" s="320" t="s">
        <v>92</v>
      </c>
      <c r="B63" s="321">
        <f t="shared" ref="B63:AD63" si="27">SUM(B54:B62)</f>
        <v>209</v>
      </c>
      <c r="C63" s="321">
        <f t="shared" si="27"/>
        <v>193</v>
      </c>
      <c r="D63" s="321">
        <f t="shared" si="27"/>
        <v>212</v>
      </c>
      <c r="E63" s="321">
        <f t="shared" si="27"/>
        <v>246</v>
      </c>
      <c r="F63" s="321">
        <f t="shared" si="27"/>
        <v>232</v>
      </c>
      <c r="G63" s="321">
        <f t="shared" si="27"/>
        <v>206</v>
      </c>
      <c r="H63" s="321">
        <f t="shared" si="27"/>
        <v>294</v>
      </c>
      <c r="I63" s="321">
        <f t="shared" si="27"/>
        <v>272</v>
      </c>
      <c r="J63" s="321">
        <f t="shared" si="27"/>
        <v>295</v>
      </c>
      <c r="K63" s="321">
        <f t="shared" si="27"/>
        <v>256</v>
      </c>
      <c r="L63" s="321">
        <f t="shared" si="27"/>
        <v>266</v>
      </c>
      <c r="M63" s="321">
        <f t="shared" si="27"/>
        <v>293</v>
      </c>
      <c r="N63" s="321">
        <f t="shared" si="27"/>
        <v>307</v>
      </c>
      <c r="O63" s="404">
        <f t="shared" si="27"/>
        <v>335</v>
      </c>
      <c r="P63" s="404">
        <f t="shared" si="27"/>
        <v>399</v>
      </c>
      <c r="Q63" s="465">
        <f t="shared" si="27"/>
        <v>394</v>
      </c>
      <c r="R63" s="465">
        <f>SUM(R54:R62)</f>
        <v>330</v>
      </c>
      <c r="S63" s="465">
        <f t="shared" si="27"/>
        <v>356</v>
      </c>
      <c r="T63" s="465">
        <f t="shared" si="27"/>
        <v>328</v>
      </c>
      <c r="U63" s="322">
        <f t="shared" si="27"/>
        <v>358</v>
      </c>
      <c r="V63" s="321">
        <f t="shared" si="27"/>
        <v>376</v>
      </c>
      <c r="W63" s="321">
        <f t="shared" si="27"/>
        <v>387</v>
      </c>
      <c r="X63" s="321">
        <f t="shared" si="27"/>
        <v>423</v>
      </c>
      <c r="Y63" s="321">
        <f t="shared" si="27"/>
        <v>384</v>
      </c>
      <c r="Z63" s="321">
        <f t="shared" si="27"/>
        <v>380</v>
      </c>
      <c r="AA63" s="321">
        <f t="shared" si="27"/>
        <v>384</v>
      </c>
      <c r="AB63" s="321">
        <f t="shared" si="27"/>
        <v>402</v>
      </c>
      <c r="AC63" s="321">
        <f t="shared" si="27"/>
        <v>296</v>
      </c>
      <c r="AD63" s="321">
        <f t="shared" si="27"/>
        <v>345</v>
      </c>
      <c r="AE63" s="323">
        <f t="shared" si="21"/>
        <v>0.16554054054054054</v>
      </c>
      <c r="AF63" s="324">
        <f t="shared" si="22"/>
        <v>-0.1015625</v>
      </c>
      <c r="AG63" s="325">
        <f t="shared" si="23"/>
        <v>5.1829268292682924E-2</v>
      </c>
      <c r="AH63" s="326">
        <f t="shared" si="24"/>
        <v>347.66666666666669</v>
      </c>
      <c r="AI63" s="153"/>
      <c r="AJ63" s="155"/>
      <c r="AK63" s="155"/>
      <c r="AL63" s="155"/>
      <c r="AM63" s="155"/>
      <c r="AN63" s="155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</row>
    <row r="64" spans="1:166" ht="15" customHeight="1" thickTop="1" x14ac:dyDescent="0.2">
      <c r="A64" s="313" t="s">
        <v>93</v>
      </c>
      <c r="B64" s="314"/>
      <c r="C64" s="315"/>
      <c r="D64" s="315"/>
      <c r="E64" s="314"/>
      <c r="F64" s="316"/>
      <c r="G64" s="316"/>
      <c r="H64" s="316"/>
      <c r="I64" s="314"/>
      <c r="J64" s="314"/>
      <c r="K64" s="314"/>
      <c r="L64" s="314"/>
      <c r="M64" s="314"/>
      <c r="N64" s="314"/>
      <c r="O64" s="317"/>
      <c r="P64" s="407"/>
      <c r="Q64" s="317"/>
      <c r="R64" s="317"/>
      <c r="S64" s="317"/>
      <c r="T64" s="317"/>
      <c r="U64" s="317"/>
      <c r="V64" s="317"/>
      <c r="W64" s="317"/>
      <c r="X64" s="318"/>
      <c r="Y64" s="318"/>
      <c r="Z64" s="318"/>
      <c r="AA64" s="318"/>
      <c r="AB64" s="318"/>
      <c r="AC64" s="318"/>
      <c r="AD64" s="318"/>
      <c r="AE64" s="318"/>
      <c r="AF64" s="319"/>
      <c r="AG64" s="319"/>
      <c r="AH64" s="331"/>
      <c r="AI64" s="154"/>
      <c r="AJ64" s="159"/>
      <c r="AK64" s="159"/>
      <c r="AL64" s="159"/>
      <c r="AM64" s="159"/>
      <c r="AN64" s="1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B64" s="59"/>
      <c r="FC64" s="59"/>
      <c r="FD64" s="59"/>
      <c r="FE64" s="59"/>
      <c r="FF64" s="59"/>
      <c r="FG64" s="59"/>
      <c r="FH64" s="59"/>
      <c r="FI64" s="59"/>
      <c r="FJ64" s="59"/>
    </row>
    <row r="65" spans="1:175" ht="15" customHeight="1" x14ac:dyDescent="0.2">
      <c r="A65" s="17" t="s">
        <v>9</v>
      </c>
      <c r="B65" s="133"/>
      <c r="C65" s="133">
        <v>0</v>
      </c>
      <c r="D65" s="133"/>
      <c r="E65" s="133">
        <v>0</v>
      </c>
      <c r="F65" s="133">
        <v>0</v>
      </c>
      <c r="G65" s="133">
        <v>0</v>
      </c>
      <c r="H65" s="22">
        <v>0</v>
      </c>
      <c r="I65" s="22">
        <v>0</v>
      </c>
      <c r="J65" s="133">
        <v>0</v>
      </c>
      <c r="K65" s="133">
        <v>0</v>
      </c>
      <c r="L65" s="133">
        <v>12</v>
      </c>
      <c r="M65" s="133">
        <v>22</v>
      </c>
      <c r="N65" s="22">
        <v>28</v>
      </c>
      <c r="O65" s="385">
        <v>34</v>
      </c>
      <c r="P65" s="386">
        <v>43</v>
      </c>
      <c r="Q65" s="454">
        <v>36</v>
      </c>
      <c r="R65" s="460">
        <f>43+2</f>
        <v>45</v>
      </c>
      <c r="S65" s="504">
        <v>39</v>
      </c>
      <c r="T65" s="454">
        <v>56</v>
      </c>
      <c r="U65" s="397">
        <f>70+1</f>
        <v>71</v>
      </c>
      <c r="V65" s="134">
        <v>42</v>
      </c>
      <c r="W65" s="134">
        <f>55+2</f>
        <v>57</v>
      </c>
      <c r="X65" s="22">
        <v>59</v>
      </c>
      <c r="Y65" s="22">
        <v>48</v>
      </c>
      <c r="Z65" s="134">
        <v>39</v>
      </c>
      <c r="AA65" s="134">
        <v>48</v>
      </c>
      <c r="AB65" s="134">
        <v>58</v>
      </c>
      <c r="AC65" s="134">
        <v>49</v>
      </c>
      <c r="AD65" s="135">
        <v>56</v>
      </c>
      <c r="AE65" s="136">
        <f t="shared" ref="AE65:AE72" si="28">IF(AD65=0," ",IF(AH65&gt;20,(AD65-AC65)/AC65," "))</f>
        <v>0.14285714285714285</v>
      </c>
      <c r="AF65" s="302">
        <f t="shared" ref="AF65:AF72" si="29">IF(AD65=0," ",IF(AH65&gt;20,(AD65-Y65)/Y65," "))</f>
        <v>0.16666666666666666</v>
      </c>
      <c r="AG65" s="303">
        <f t="shared" ref="AG65:AG72" si="30">IF(AD65=0," ",(IF(AH65&gt;20,(AD65-T65)/T65," ")))</f>
        <v>0</v>
      </c>
      <c r="AH65" s="211">
        <f t="shared" ref="AH65:AH72" si="31">IF(AB65&gt;0,AVERAGE(AB65:AD65),"  ")</f>
        <v>54.333333333333336</v>
      </c>
      <c r="AJ65" s="29" t="str">
        <f t="shared" ref="AJ65:AJ69" si="32">IF(AD65&lt;5,"Yes","No")</f>
        <v>No</v>
      </c>
      <c r="AK65" s="29" t="str">
        <f t="shared" ref="AK65:AK69" si="33">IF((AB65+AC65+AD65)&lt;15,"Yes","No")</f>
        <v>No</v>
      </c>
    </row>
    <row r="66" spans="1:175" ht="15" customHeight="1" x14ac:dyDescent="0.2">
      <c r="A66" s="17" t="s">
        <v>10</v>
      </c>
      <c r="B66" s="133">
        <v>163</v>
      </c>
      <c r="C66" s="133">
        <v>161</v>
      </c>
      <c r="D66" s="133">
        <v>185</v>
      </c>
      <c r="E66" s="133">
        <v>160</v>
      </c>
      <c r="F66" s="133">
        <v>167</v>
      </c>
      <c r="G66" s="133">
        <v>137</v>
      </c>
      <c r="H66" s="22">
        <v>168</v>
      </c>
      <c r="I66" s="22">
        <v>169</v>
      </c>
      <c r="J66" s="133">
        <v>194</v>
      </c>
      <c r="K66" s="133">
        <v>145</v>
      </c>
      <c r="L66" s="133">
        <v>108</v>
      </c>
      <c r="M66" s="133">
        <v>129</v>
      </c>
      <c r="N66" s="22">
        <v>113</v>
      </c>
      <c r="O66" s="386">
        <v>98</v>
      </c>
      <c r="P66" s="386">
        <v>97</v>
      </c>
      <c r="Q66" s="454">
        <v>93</v>
      </c>
      <c r="R66" s="454">
        <f>96+4</f>
        <v>100</v>
      </c>
      <c r="S66" s="504">
        <f>113+3</f>
        <v>116</v>
      </c>
      <c r="T66" s="454">
        <v>117</v>
      </c>
      <c r="U66" s="397">
        <f>115+9</f>
        <v>124</v>
      </c>
      <c r="V66" s="134">
        <v>102</v>
      </c>
      <c r="W66" s="134">
        <v>122</v>
      </c>
      <c r="X66" s="22">
        <v>113</v>
      </c>
      <c r="Y66" s="22">
        <v>81</v>
      </c>
      <c r="Z66" s="134">
        <v>90</v>
      </c>
      <c r="AA66" s="134">
        <v>77</v>
      </c>
      <c r="AB66" s="134">
        <v>49</v>
      </c>
      <c r="AC66" s="134">
        <v>76</v>
      </c>
      <c r="AD66" s="135">
        <v>78</v>
      </c>
      <c r="AE66" s="136">
        <f t="shared" si="28"/>
        <v>2.6315789473684209E-2</v>
      </c>
      <c r="AF66" s="302">
        <f t="shared" si="29"/>
        <v>-3.7037037037037035E-2</v>
      </c>
      <c r="AG66" s="303">
        <f t="shared" si="30"/>
        <v>-0.33333333333333331</v>
      </c>
      <c r="AH66" s="211">
        <f t="shared" si="31"/>
        <v>67.666666666666671</v>
      </c>
      <c r="AJ66" s="29" t="str">
        <f t="shared" si="32"/>
        <v>No</v>
      </c>
      <c r="AK66" s="29" t="str">
        <f t="shared" si="33"/>
        <v>No</v>
      </c>
    </row>
    <row r="67" spans="1:175" ht="15" customHeight="1" x14ac:dyDescent="0.25">
      <c r="A67" s="25" t="s">
        <v>16</v>
      </c>
      <c r="B67" s="176">
        <v>0</v>
      </c>
      <c r="C67" s="176">
        <v>0</v>
      </c>
      <c r="D67" s="176"/>
      <c r="E67" s="176">
        <v>0</v>
      </c>
      <c r="F67" s="176">
        <v>0</v>
      </c>
      <c r="G67" s="176">
        <v>0</v>
      </c>
      <c r="H67" s="177">
        <v>0</v>
      </c>
      <c r="I67" s="177">
        <v>0</v>
      </c>
      <c r="J67" s="176">
        <v>0</v>
      </c>
      <c r="K67" s="176">
        <v>1</v>
      </c>
      <c r="L67" s="176">
        <v>7</v>
      </c>
      <c r="M67" s="176">
        <v>4</v>
      </c>
      <c r="N67" s="177">
        <v>2</v>
      </c>
      <c r="O67" s="392">
        <v>3</v>
      </c>
      <c r="P67" s="392">
        <v>5</v>
      </c>
      <c r="Q67" s="461">
        <v>4</v>
      </c>
      <c r="R67" s="461">
        <f>14+1</f>
        <v>15</v>
      </c>
      <c r="S67" s="508">
        <v>19</v>
      </c>
      <c r="T67" s="461">
        <v>22</v>
      </c>
      <c r="U67" s="402">
        <f>14+1</f>
        <v>15</v>
      </c>
      <c r="V67" s="152">
        <v>26</v>
      </c>
      <c r="W67" s="152">
        <f>26+1</f>
        <v>27</v>
      </c>
      <c r="X67" s="177">
        <v>12</v>
      </c>
      <c r="Y67" s="177">
        <v>1</v>
      </c>
      <c r="Z67" s="152">
        <v>0</v>
      </c>
      <c r="AA67" s="152">
        <v>0</v>
      </c>
      <c r="AB67" s="152">
        <v>0</v>
      </c>
      <c r="AC67" s="152">
        <v>0</v>
      </c>
      <c r="AD67" s="178">
        <v>0</v>
      </c>
      <c r="AE67" s="136" t="str">
        <f t="shared" si="28"/>
        <v xml:space="preserve"> </v>
      </c>
      <c r="AF67" s="302" t="str">
        <f t="shared" si="29"/>
        <v xml:space="preserve"> </v>
      </c>
      <c r="AG67" s="303" t="str">
        <f t="shared" si="30"/>
        <v xml:space="preserve"> </v>
      </c>
      <c r="AH67" s="363" t="str">
        <f t="shared" si="31"/>
        <v xml:space="preserve">  </v>
      </c>
      <c r="AJ67" s="515" t="str">
        <f t="shared" si="32"/>
        <v>Yes</v>
      </c>
      <c r="AK67" s="515" t="str">
        <f t="shared" si="33"/>
        <v>Yes</v>
      </c>
      <c r="AL67" s="514" t="s">
        <v>150</v>
      </c>
    </row>
    <row r="68" spans="1:175" ht="15" customHeight="1" x14ac:dyDescent="0.25">
      <c r="A68" s="17" t="s">
        <v>134</v>
      </c>
      <c r="B68" s="133"/>
      <c r="C68" s="133"/>
      <c r="D68" s="133"/>
      <c r="E68" s="133"/>
      <c r="F68" s="133"/>
      <c r="G68" s="133"/>
      <c r="H68" s="22"/>
      <c r="I68" s="22"/>
      <c r="J68" s="133"/>
      <c r="K68" s="133"/>
      <c r="L68" s="133"/>
      <c r="M68" s="133"/>
      <c r="N68" s="22"/>
      <c r="O68" s="386"/>
      <c r="P68" s="386"/>
      <c r="Q68" s="454"/>
      <c r="R68" s="454">
        <v>0</v>
      </c>
      <c r="S68" s="504"/>
      <c r="T68" s="454">
        <v>0</v>
      </c>
      <c r="U68" s="397"/>
      <c r="V68" s="134"/>
      <c r="W68" s="134">
        <v>0</v>
      </c>
      <c r="X68" s="22">
        <v>0</v>
      </c>
      <c r="Y68" s="22">
        <v>0</v>
      </c>
      <c r="Z68" s="134">
        <v>0</v>
      </c>
      <c r="AA68" s="134">
        <v>1</v>
      </c>
      <c r="AB68" s="134">
        <v>0</v>
      </c>
      <c r="AC68" s="134">
        <v>5</v>
      </c>
      <c r="AD68" s="135">
        <v>7</v>
      </c>
      <c r="AE68" s="136">
        <f t="shared" si="28"/>
        <v>0.4</v>
      </c>
      <c r="AF68" s="302"/>
      <c r="AG68" s="303"/>
      <c r="AH68" s="211" t="str">
        <f t="shared" si="31"/>
        <v xml:space="preserve">  </v>
      </c>
      <c r="AJ68" s="549" t="str">
        <f t="shared" si="32"/>
        <v>No</v>
      </c>
      <c r="AK68" s="549" t="str">
        <f t="shared" si="33"/>
        <v>Yes</v>
      </c>
      <c r="AL68" s="549" t="s">
        <v>163</v>
      </c>
      <c r="AM68" s="549"/>
      <c r="AN68" s="549"/>
    </row>
    <row r="69" spans="1:175" ht="15" customHeight="1" x14ac:dyDescent="0.2">
      <c r="A69" s="1" t="s">
        <v>25</v>
      </c>
      <c r="B69" s="133">
        <v>38</v>
      </c>
      <c r="C69" s="133">
        <v>48</v>
      </c>
      <c r="D69" s="133">
        <v>68</v>
      </c>
      <c r="E69" s="133">
        <v>56</v>
      </c>
      <c r="F69" s="133">
        <v>52</v>
      </c>
      <c r="G69" s="133">
        <v>63</v>
      </c>
      <c r="H69" s="22">
        <v>62</v>
      </c>
      <c r="I69" s="22">
        <v>63</v>
      </c>
      <c r="J69" s="133">
        <v>37</v>
      </c>
      <c r="K69" s="133">
        <v>38</v>
      </c>
      <c r="L69" s="133">
        <v>34</v>
      </c>
      <c r="M69" s="133">
        <v>41</v>
      </c>
      <c r="N69" s="22">
        <v>43</v>
      </c>
      <c r="O69" s="386">
        <v>30</v>
      </c>
      <c r="P69" s="386">
        <v>28</v>
      </c>
      <c r="Q69" s="454">
        <v>37</v>
      </c>
      <c r="R69" s="454">
        <v>38</v>
      </c>
      <c r="S69" s="504">
        <v>29</v>
      </c>
      <c r="T69" s="454">
        <v>44</v>
      </c>
      <c r="U69" s="397">
        <v>40</v>
      </c>
      <c r="V69" s="134">
        <v>22</v>
      </c>
      <c r="W69" s="134">
        <v>21</v>
      </c>
      <c r="X69" s="22">
        <v>31</v>
      </c>
      <c r="Y69" s="22">
        <v>22</v>
      </c>
      <c r="Z69" s="134">
        <v>18</v>
      </c>
      <c r="AA69" s="134">
        <v>25</v>
      </c>
      <c r="AB69" s="134">
        <v>25</v>
      </c>
      <c r="AC69" s="134">
        <v>35</v>
      </c>
      <c r="AD69" s="135">
        <v>18</v>
      </c>
      <c r="AE69" s="136">
        <f t="shared" si="28"/>
        <v>-0.48571428571428571</v>
      </c>
      <c r="AF69" s="302">
        <f t="shared" si="29"/>
        <v>-0.18181818181818182</v>
      </c>
      <c r="AG69" s="303">
        <f t="shared" si="30"/>
        <v>-0.59090909090909094</v>
      </c>
      <c r="AH69" s="211">
        <f t="shared" si="31"/>
        <v>26</v>
      </c>
      <c r="AJ69" s="29" t="str">
        <f t="shared" si="32"/>
        <v>No</v>
      </c>
      <c r="AK69" s="29" t="str">
        <f t="shared" si="33"/>
        <v>No</v>
      </c>
      <c r="AL69" s="550"/>
    </row>
    <row r="70" spans="1:175" ht="15" hidden="1" customHeight="1" x14ac:dyDescent="0.2">
      <c r="A70" s="146" t="s">
        <v>48</v>
      </c>
      <c r="B70" s="133">
        <v>6</v>
      </c>
      <c r="C70" s="133">
        <v>4</v>
      </c>
      <c r="D70" s="133"/>
      <c r="E70" s="133"/>
      <c r="F70" s="133"/>
      <c r="G70" s="133"/>
      <c r="H70" s="22"/>
      <c r="I70" s="22">
        <v>0</v>
      </c>
      <c r="J70" s="133">
        <v>0</v>
      </c>
      <c r="K70" s="133">
        <v>0</v>
      </c>
      <c r="L70" s="133">
        <v>0</v>
      </c>
      <c r="M70" s="133">
        <v>0</v>
      </c>
      <c r="N70" s="22">
        <v>0</v>
      </c>
      <c r="O70" s="386"/>
      <c r="P70" s="386"/>
      <c r="Q70" s="454"/>
      <c r="R70" s="454"/>
      <c r="S70" s="504"/>
      <c r="T70" s="454"/>
      <c r="U70" s="397"/>
      <c r="V70" s="134"/>
      <c r="W70" s="134"/>
      <c r="X70" s="22"/>
      <c r="Y70" s="22"/>
      <c r="Z70" s="135"/>
      <c r="AA70" s="135"/>
      <c r="AB70" s="135"/>
      <c r="AC70" s="135"/>
      <c r="AD70" s="135"/>
      <c r="AE70" s="135" t="str">
        <f t="shared" si="28"/>
        <v xml:space="preserve"> </v>
      </c>
      <c r="AF70" s="136" t="str">
        <f t="shared" si="29"/>
        <v xml:space="preserve"> </v>
      </c>
      <c r="AG70" s="138" t="str">
        <f t="shared" si="30"/>
        <v xml:space="preserve"> </v>
      </c>
      <c r="AH70" s="137" t="str">
        <f t="shared" si="31"/>
        <v xml:space="preserve">  </v>
      </c>
    </row>
    <row r="71" spans="1:175" s="42" customFormat="1" ht="15" customHeight="1" thickBot="1" x14ac:dyDescent="0.25">
      <c r="A71" s="195" t="s">
        <v>94</v>
      </c>
      <c r="B71" s="198">
        <f t="shared" ref="B71:AD71" si="34">SUM(B65:B70)</f>
        <v>207</v>
      </c>
      <c r="C71" s="198">
        <f t="shared" si="34"/>
        <v>213</v>
      </c>
      <c r="D71" s="198">
        <f t="shared" si="34"/>
        <v>253</v>
      </c>
      <c r="E71" s="198">
        <f t="shared" si="34"/>
        <v>216</v>
      </c>
      <c r="F71" s="198">
        <f t="shared" si="34"/>
        <v>219</v>
      </c>
      <c r="G71" s="198">
        <f t="shared" si="34"/>
        <v>200</v>
      </c>
      <c r="H71" s="198">
        <f t="shared" si="34"/>
        <v>230</v>
      </c>
      <c r="I71" s="198">
        <f t="shared" si="34"/>
        <v>232</v>
      </c>
      <c r="J71" s="198">
        <f t="shared" si="34"/>
        <v>231</v>
      </c>
      <c r="K71" s="198">
        <f t="shared" si="34"/>
        <v>184</v>
      </c>
      <c r="L71" s="198">
        <f t="shared" si="34"/>
        <v>161</v>
      </c>
      <c r="M71" s="198">
        <f t="shared" si="34"/>
        <v>196</v>
      </c>
      <c r="N71" s="198">
        <f t="shared" si="34"/>
        <v>186</v>
      </c>
      <c r="O71" s="405">
        <f t="shared" si="34"/>
        <v>165</v>
      </c>
      <c r="P71" s="405">
        <f t="shared" si="34"/>
        <v>173</v>
      </c>
      <c r="Q71" s="466">
        <f t="shared" si="34"/>
        <v>170</v>
      </c>
      <c r="R71" s="466">
        <f t="shared" si="34"/>
        <v>198</v>
      </c>
      <c r="S71" s="466">
        <f t="shared" si="34"/>
        <v>203</v>
      </c>
      <c r="T71" s="466">
        <f t="shared" si="34"/>
        <v>239</v>
      </c>
      <c r="U71" s="290">
        <f t="shared" si="34"/>
        <v>250</v>
      </c>
      <c r="V71" s="198">
        <f t="shared" si="34"/>
        <v>192</v>
      </c>
      <c r="W71" s="198">
        <f>SUM(W65:W70)</f>
        <v>227</v>
      </c>
      <c r="X71" s="198">
        <f t="shared" si="34"/>
        <v>215</v>
      </c>
      <c r="Y71" s="198">
        <f t="shared" si="34"/>
        <v>152</v>
      </c>
      <c r="Z71" s="198">
        <f t="shared" si="34"/>
        <v>147</v>
      </c>
      <c r="AA71" s="198">
        <f t="shared" si="34"/>
        <v>151</v>
      </c>
      <c r="AB71" s="198">
        <f t="shared" si="34"/>
        <v>132</v>
      </c>
      <c r="AC71" s="198">
        <f t="shared" si="34"/>
        <v>165</v>
      </c>
      <c r="AD71" s="198">
        <f t="shared" si="34"/>
        <v>159</v>
      </c>
      <c r="AE71" s="327">
        <f t="shared" si="28"/>
        <v>-3.6363636363636362E-2</v>
      </c>
      <c r="AF71" s="327">
        <f t="shared" si="29"/>
        <v>4.6052631578947366E-2</v>
      </c>
      <c r="AG71" s="327">
        <f t="shared" si="30"/>
        <v>-0.33472803347280333</v>
      </c>
      <c r="AH71" s="198">
        <f t="shared" si="31"/>
        <v>152</v>
      </c>
      <c r="AI71" s="153"/>
      <c r="AJ71" s="155"/>
      <c r="AK71" s="155"/>
      <c r="AL71" s="155"/>
      <c r="AM71" s="155"/>
      <c r="AN71" s="155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</row>
    <row r="72" spans="1:175" ht="15" customHeight="1" thickTop="1" thickBot="1" x14ac:dyDescent="0.25">
      <c r="A72" s="196" t="s">
        <v>95</v>
      </c>
      <c r="B72" s="60">
        <f t="shared" ref="B72:AD72" si="35">+B71+B63+B52+B38+B16</f>
        <v>1091</v>
      </c>
      <c r="C72" s="60">
        <f t="shared" si="35"/>
        <v>1160</v>
      </c>
      <c r="D72" s="60">
        <f t="shared" si="35"/>
        <v>1201</v>
      </c>
      <c r="E72" s="60">
        <f t="shared" si="35"/>
        <v>1260</v>
      </c>
      <c r="F72" s="60">
        <f t="shared" si="35"/>
        <v>1169</v>
      </c>
      <c r="G72" s="60">
        <f t="shared" si="35"/>
        <v>1056</v>
      </c>
      <c r="H72" s="60">
        <f t="shared" si="35"/>
        <v>1285</v>
      </c>
      <c r="I72" s="60">
        <f t="shared" si="35"/>
        <v>1283</v>
      </c>
      <c r="J72" s="60">
        <f t="shared" si="35"/>
        <v>1364</v>
      </c>
      <c r="K72" s="60">
        <f t="shared" si="35"/>
        <v>1301</v>
      </c>
      <c r="L72" s="60">
        <f t="shared" si="35"/>
        <v>1313</v>
      </c>
      <c r="M72" s="60">
        <f t="shared" si="35"/>
        <v>1401</v>
      </c>
      <c r="N72" s="60">
        <f t="shared" si="35"/>
        <v>1439</v>
      </c>
      <c r="O72" s="406">
        <f t="shared" si="35"/>
        <v>1553</v>
      </c>
      <c r="P72" s="406">
        <f t="shared" si="35"/>
        <v>1608</v>
      </c>
      <c r="Q72" s="467">
        <f t="shared" si="35"/>
        <v>1661</v>
      </c>
      <c r="R72" s="467">
        <f>+R71+R63+R52+R38+R16</f>
        <v>1709</v>
      </c>
      <c r="S72" s="467">
        <f t="shared" si="35"/>
        <v>1787</v>
      </c>
      <c r="T72" s="467">
        <f t="shared" si="35"/>
        <v>1872</v>
      </c>
      <c r="U72" s="291">
        <f t="shared" si="35"/>
        <v>1899</v>
      </c>
      <c r="V72" s="60">
        <f t="shared" si="35"/>
        <v>1935</v>
      </c>
      <c r="W72" s="60">
        <f t="shared" si="35"/>
        <v>1967</v>
      </c>
      <c r="X72" s="60">
        <f t="shared" si="35"/>
        <v>2026</v>
      </c>
      <c r="Y72" s="60">
        <f t="shared" si="35"/>
        <v>1872</v>
      </c>
      <c r="Z72" s="60">
        <f t="shared" si="35"/>
        <v>1805</v>
      </c>
      <c r="AA72" s="60">
        <f t="shared" si="35"/>
        <v>1907</v>
      </c>
      <c r="AB72" s="60">
        <f t="shared" si="35"/>
        <v>1842</v>
      </c>
      <c r="AC72" s="60">
        <f t="shared" si="35"/>
        <v>1664</v>
      </c>
      <c r="AD72" s="60">
        <f t="shared" si="35"/>
        <v>1605</v>
      </c>
      <c r="AE72" s="199">
        <f t="shared" si="28"/>
        <v>-3.5456730769230768E-2</v>
      </c>
      <c r="AF72" s="199">
        <f t="shared" si="29"/>
        <v>-0.14262820512820512</v>
      </c>
      <c r="AG72" s="200">
        <f t="shared" si="30"/>
        <v>-0.14262820512820512</v>
      </c>
      <c r="AH72" s="328">
        <f t="shared" si="31"/>
        <v>1703.6666666666667</v>
      </c>
      <c r="AI72" s="154"/>
      <c r="AJ72" s="159"/>
      <c r="AK72" s="159"/>
      <c r="AL72" s="159"/>
      <c r="AM72" s="159"/>
      <c r="AN72" s="1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59"/>
      <c r="FI72" s="59"/>
      <c r="FJ72" s="59"/>
    </row>
    <row r="73" spans="1:175" ht="15" customHeight="1" thickTop="1" x14ac:dyDescent="0.2">
      <c r="A73" s="61"/>
      <c r="B73" s="62"/>
      <c r="C73" s="62"/>
      <c r="D73" s="63"/>
      <c r="E73" s="63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286"/>
      <c r="Z73" s="286"/>
      <c r="AA73" s="286"/>
      <c r="AB73" s="286"/>
      <c r="AC73" s="286"/>
      <c r="AD73" s="286"/>
      <c r="AE73" s="286"/>
      <c r="AF73" s="64"/>
      <c r="AG73" s="62"/>
      <c r="AH73" s="65"/>
      <c r="AI73" s="154"/>
      <c r="AJ73" s="159"/>
      <c r="AK73" s="159"/>
      <c r="AL73" s="159"/>
      <c r="AM73" s="159"/>
      <c r="AN73" s="1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</row>
    <row r="74" spans="1:175" ht="15" customHeight="1" x14ac:dyDescent="0.2">
      <c r="A74" s="574" t="s">
        <v>160</v>
      </c>
      <c r="B74" s="574"/>
      <c r="C74" s="574"/>
      <c r="D74" s="574"/>
      <c r="E74" s="574"/>
      <c r="F74" s="574"/>
      <c r="G74" s="574"/>
      <c r="H74" s="574"/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4"/>
      <c r="T74" s="574"/>
      <c r="U74" s="574"/>
      <c r="V74" s="574"/>
      <c r="W74" s="574"/>
      <c r="X74" s="574"/>
      <c r="Y74" s="574"/>
      <c r="Z74" s="574"/>
      <c r="AA74" s="574"/>
      <c r="AB74" s="574"/>
      <c r="AC74" s="574"/>
      <c r="AD74" s="574"/>
      <c r="AE74" s="574"/>
      <c r="AF74" s="574"/>
      <c r="AG74" s="574"/>
      <c r="AH74" s="574"/>
    </row>
    <row r="75" spans="1:175" ht="15" customHeight="1" x14ac:dyDescent="0.25">
      <c r="A75" s="66"/>
      <c r="B75" s="66"/>
      <c r="C75" s="66"/>
      <c r="D75" s="67"/>
      <c r="E75" s="67"/>
      <c r="F75" s="68"/>
      <c r="G75" s="67"/>
      <c r="H75" s="69"/>
      <c r="I75" s="69"/>
      <c r="J75" s="69"/>
      <c r="K75" s="69"/>
      <c r="L75" s="70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7"/>
      <c r="Z75" s="67"/>
      <c r="AA75" s="67"/>
      <c r="AB75" s="67"/>
      <c r="AC75" s="67"/>
      <c r="AD75" s="67"/>
      <c r="AE75" s="67"/>
      <c r="AF75" s="71"/>
      <c r="AG75" s="72"/>
      <c r="AH75" s="73"/>
      <c r="AI75" s="154"/>
      <c r="AJ75" s="159"/>
      <c r="AK75" s="159"/>
      <c r="AL75" s="159"/>
      <c r="AM75" s="159"/>
      <c r="AN75" s="1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</row>
    <row r="76" spans="1:175" ht="15" customHeight="1" x14ac:dyDescent="0.2">
      <c r="A76" s="575" t="s">
        <v>79</v>
      </c>
      <c r="B76" s="103"/>
      <c r="C76" s="126"/>
      <c r="D76" s="126"/>
      <c r="E76" s="103"/>
      <c r="F76" s="103"/>
      <c r="G76" s="126"/>
      <c r="H76" s="127"/>
      <c r="I76" s="127"/>
      <c r="J76" s="126"/>
      <c r="K76" s="128"/>
      <c r="L76" s="128"/>
      <c r="M76" s="128"/>
      <c r="N76" s="127"/>
      <c r="O76" s="383"/>
      <c r="P76" s="447"/>
      <c r="Q76" s="452"/>
      <c r="R76" s="452"/>
      <c r="S76" s="510"/>
      <c r="T76" s="452"/>
      <c r="U76" s="396"/>
      <c r="V76" s="131"/>
      <c r="W76" s="130"/>
      <c r="X76" s="129"/>
      <c r="Y76" s="129"/>
      <c r="Z76" s="130"/>
      <c r="AA76" s="130"/>
      <c r="AB76" s="131"/>
      <c r="AC76" s="130"/>
      <c r="AD76" s="132"/>
      <c r="AE76" s="586" t="s">
        <v>117</v>
      </c>
      <c r="AF76" s="588" t="s">
        <v>118</v>
      </c>
      <c r="AG76" s="586" t="s">
        <v>119</v>
      </c>
      <c r="AH76" s="361" t="s">
        <v>0</v>
      </c>
      <c r="AI76" s="154"/>
      <c r="AJ76" s="159"/>
      <c r="AK76" s="159"/>
      <c r="AL76" s="159"/>
      <c r="AM76" s="159"/>
      <c r="AN76" s="1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</row>
    <row r="77" spans="1:175" ht="15" customHeight="1" thickBot="1" x14ac:dyDescent="0.25">
      <c r="A77" s="576"/>
      <c r="B77" s="104" t="s">
        <v>97</v>
      </c>
      <c r="C77" s="105" t="s">
        <v>41</v>
      </c>
      <c r="D77" s="104" t="s">
        <v>51</v>
      </c>
      <c r="E77" s="105" t="s">
        <v>52</v>
      </c>
      <c r="F77" s="105" t="s">
        <v>53</v>
      </c>
      <c r="G77" s="104" t="s">
        <v>54</v>
      </c>
      <c r="H77" s="106" t="s">
        <v>55</v>
      </c>
      <c r="I77" s="107" t="s">
        <v>43</v>
      </c>
      <c r="J77" s="108" t="s">
        <v>44</v>
      </c>
      <c r="K77" s="108" t="s">
        <v>45</v>
      </c>
      <c r="L77" s="108" t="s">
        <v>46</v>
      </c>
      <c r="M77" s="108" t="s">
        <v>42</v>
      </c>
      <c r="N77" s="107" t="s">
        <v>56</v>
      </c>
      <c r="O77" s="384" t="s">
        <v>57</v>
      </c>
      <c r="P77" s="384" t="s">
        <v>60</v>
      </c>
      <c r="Q77" s="453" t="s">
        <v>63</v>
      </c>
      <c r="R77" s="453" t="s">
        <v>67</v>
      </c>
      <c r="S77" s="511" t="s">
        <v>68</v>
      </c>
      <c r="T77" s="543" t="s">
        <v>71</v>
      </c>
      <c r="U77" s="500" t="s">
        <v>72</v>
      </c>
      <c r="V77" s="24" t="s">
        <v>73</v>
      </c>
      <c r="W77" s="24" t="s">
        <v>74</v>
      </c>
      <c r="X77" s="109" t="s">
        <v>76</v>
      </c>
      <c r="Y77" s="109" t="s">
        <v>78</v>
      </c>
      <c r="Z77" s="24" t="s">
        <v>127</v>
      </c>
      <c r="AA77" s="24" t="s">
        <v>133</v>
      </c>
      <c r="AB77" s="24" t="s">
        <v>136</v>
      </c>
      <c r="AC77" s="24" t="s">
        <v>143</v>
      </c>
      <c r="AD77" s="110" t="s">
        <v>156</v>
      </c>
      <c r="AE77" s="587"/>
      <c r="AF77" s="589"/>
      <c r="AG77" s="587"/>
      <c r="AH77" s="362" t="s">
        <v>37</v>
      </c>
      <c r="AI77" s="154"/>
      <c r="AJ77" s="159"/>
      <c r="AK77" s="159"/>
      <c r="AL77" s="159"/>
      <c r="AM77" s="159"/>
      <c r="AN77" s="1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</row>
    <row r="78" spans="1:175" ht="15" customHeight="1" thickTop="1" x14ac:dyDescent="0.2">
      <c r="A78" s="74" t="s">
        <v>96</v>
      </c>
      <c r="B78" s="75"/>
      <c r="C78" s="75"/>
      <c r="D78" s="76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8"/>
      <c r="AA78" s="78"/>
      <c r="AB78" s="78"/>
      <c r="AC78" s="78"/>
      <c r="AD78" s="78"/>
      <c r="AE78" s="78"/>
      <c r="AF78" s="78"/>
      <c r="AG78" s="77"/>
      <c r="AH78" s="79"/>
      <c r="AI78" s="154"/>
      <c r="AJ78" s="159"/>
      <c r="AK78" s="159"/>
      <c r="AL78" s="159"/>
      <c r="AM78" s="159"/>
      <c r="AN78" s="1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/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9"/>
      <c r="FS78" s="59"/>
    </row>
    <row r="79" spans="1:175" ht="15" customHeight="1" x14ac:dyDescent="0.2">
      <c r="A79" s="544" t="s">
        <v>81</v>
      </c>
      <c r="B79" s="81"/>
      <c r="C79" s="81"/>
      <c r="D79" s="82"/>
      <c r="E79" s="82"/>
      <c r="F79" s="81"/>
      <c r="G79" s="83"/>
      <c r="H79" s="83"/>
      <c r="I79" s="83"/>
      <c r="J79" s="81"/>
      <c r="K79" s="81"/>
      <c r="L79" s="81"/>
      <c r="M79" s="81"/>
      <c r="N79" s="81"/>
      <c r="O79" s="81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5"/>
      <c r="AA79" s="85"/>
      <c r="AB79" s="85"/>
      <c r="AC79" s="85"/>
      <c r="AD79" s="85"/>
      <c r="AE79" s="85"/>
      <c r="AF79" s="85"/>
      <c r="AG79" s="86"/>
      <c r="AH79" s="87"/>
      <c r="AI79" s="154"/>
      <c r="AJ79" s="159"/>
      <c r="AK79" s="159"/>
      <c r="AL79" s="159"/>
      <c r="AM79" s="159"/>
      <c r="AN79" s="1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</row>
    <row r="80" spans="1:175" ht="15" customHeight="1" x14ac:dyDescent="0.2">
      <c r="A80" s="30" t="s">
        <v>82</v>
      </c>
      <c r="B80" s="88"/>
      <c r="C80" s="88"/>
      <c r="D80" s="89"/>
      <c r="E80" s="89"/>
      <c r="F80" s="88"/>
      <c r="G80" s="90"/>
      <c r="H80" s="90"/>
      <c r="I80" s="90"/>
      <c r="J80" s="88"/>
      <c r="K80" s="88"/>
      <c r="L80" s="88"/>
      <c r="M80" s="88"/>
      <c r="N80" s="88"/>
      <c r="O80" s="88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2"/>
      <c r="AA80" s="92"/>
      <c r="AB80" s="92"/>
      <c r="AC80" s="92"/>
      <c r="AD80" s="92"/>
      <c r="AE80" s="92"/>
      <c r="AF80" s="92"/>
      <c r="AG80" s="93"/>
      <c r="AH80" s="94"/>
      <c r="AI80" s="154"/>
      <c r="AJ80" s="159"/>
      <c r="AK80" s="159"/>
      <c r="AL80" s="159"/>
      <c r="AM80" s="159"/>
      <c r="AN80" s="1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</row>
    <row r="81" spans="1:175" ht="15" customHeight="1" x14ac:dyDescent="0.2">
      <c r="A81" s="31" t="s">
        <v>138</v>
      </c>
      <c r="B81" s="133"/>
      <c r="C81" s="133"/>
      <c r="D81" s="133"/>
      <c r="E81" s="133"/>
      <c r="F81" s="133"/>
      <c r="G81" s="206"/>
      <c r="H81" s="22"/>
      <c r="I81" s="22">
        <v>7</v>
      </c>
      <c r="J81" s="207">
        <v>5</v>
      </c>
      <c r="K81" s="207">
        <v>9</v>
      </c>
      <c r="L81" s="161">
        <v>4</v>
      </c>
      <c r="M81" s="207">
        <v>12</v>
      </c>
      <c r="N81" s="22">
        <v>8</v>
      </c>
      <c r="O81" s="385">
        <v>11</v>
      </c>
      <c r="P81" s="385">
        <v>7</v>
      </c>
      <c r="Q81" s="468">
        <v>20</v>
      </c>
      <c r="R81" s="468">
        <v>22</v>
      </c>
      <c r="S81" s="512">
        <v>14</v>
      </c>
      <c r="T81" s="468">
        <v>25</v>
      </c>
      <c r="U81" s="540">
        <v>24</v>
      </c>
      <c r="V81" s="160">
        <v>18</v>
      </c>
      <c r="W81" s="160">
        <v>27</v>
      </c>
      <c r="X81" s="177">
        <v>20</v>
      </c>
      <c r="Y81" s="177">
        <v>4</v>
      </c>
      <c r="Z81" s="160">
        <v>16</v>
      </c>
      <c r="AA81" s="160">
        <v>12</v>
      </c>
      <c r="AB81" s="160">
        <v>13</v>
      </c>
      <c r="AC81" s="160">
        <v>13</v>
      </c>
      <c r="AD81" s="208">
        <v>11</v>
      </c>
      <c r="AE81" s="187" t="str">
        <f t="shared" ref="AE81:AE83" si="36">IF(AD81=0," ",IF(AH81&gt;20,(AD81-AC81)/AC81," "))</f>
        <v xml:space="preserve"> </v>
      </c>
      <c r="AF81" s="306" t="str">
        <f t="shared" ref="AF81:AF83" si="37">IF(AD81=0," ",IF(AH81&gt;20,(AD81-Y81)/Y81," "))</f>
        <v xml:space="preserve"> </v>
      </c>
      <c r="AG81" s="307" t="str">
        <f t="shared" ref="AG81:AG83" si="38">IF(AD81=0," ",(IF(AH81&gt;20,(AD81-T81)/T81," ")))</f>
        <v xml:space="preserve"> </v>
      </c>
      <c r="AH81" s="363">
        <f t="shared" ref="AH81:AH83" si="39">IF(AB81&gt;0,AVERAGE(AB81:AD81),"  ")</f>
        <v>12.333333333333334</v>
      </c>
      <c r="AI81" s="154"/>
      <c r="AJ81" s="159"/>
      <c r="AK81" s="159"/>
      <c r="AL81" s="159"/>
      <c r="AM81" s="159"/>
      <c r="AN81" s="1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</row>
    <row r="82" spans="1:175" ht="15" customHeight="1" x14ac:dyDescent="0.2">
      <c r="A82" s="31" t="s">
        <v>98</v>
      </c>
      <c r="B82" s="133"/>
      <c r="C82" s="133"/>
      <c r="D82" s="133"/>
      <c r="E82" s="133"/>
      <c r="F82" s="133"/>
      <c r="G82" s="206"/>
      <c r="H82" s="22"/>
      <c r="I82" s="22"/>
      <c r="J82" s="207"/>
      <c r="K82" s="207"/>
      <c r="L82" s="207"/>
      <c r="M82" s="207"/>
      <c r="N82" s="22"/>
      <c r="O82" s="386"/>
      <c r="P82" s="386"/>
      <c r="Q82" s="469"/>
      <c r="R82" s="469">
        <v>0</v>
      </c>
      <c r="S82" s="504"/>
      <c r="T82" s="469"/>
      <c r="U82" s="164"/>
      <c r="V82" s="161"/>
      <c r="W82" s="161"/>
      <c r="X82" s="22"/>
      <c r="Y82" s="22">
        <v>3</v>
      </c>
      <c r="Z82" s="161">
        <v>3</v>
      </c>
      <c r="AA82" s="161">
        <v>9</v>
      </c>
      <c r="AB82" s="161">
        <v>2</v>
      </c>
      <c r="AC82" s="161">
        <v>6</v>
      </c>
      <c r="AD82" s="444">
        <v>0</v>
      </c>
      <c r="AE82" s="136" t="str">
        <f t="shared" si="36"/>
        <v xml:space="preserve"> </v>
      </c>
      <c r="AF82" s="302" t="str">
        <f t="shared" si="37"/>
        <v xml:space="preserve"> </v>
      </c>
      <c r="AG82" s="303" t="str">
        <f t="shared" si="38"/>
        <v xml:space="preserve"> </v>
      </c>
      <c r="AH82" s="211">
        <f t="shared" si="39"/>
        <v>2.6666666666666665</v>
      </c>
      <c r="AI82" s="154"/>
      <c r="AJ82" s="159"/>
      <c r="AK82" s="159"/>
      <c r="AL82" s="159"/>
      <c r="AM82" s="159"/>
      <c r="AN82" s="1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</row>
    <row r="83" spans="1:175" ht="15" customHeight="1" x14ac:dyDescent="0.2">
      <c r="A83" s="215" t="s">
        <v>83</v>
      </c>
      <c r="B83" s="216">
        <f>+B82+B81</f>
        <v>0</v>
      </c>
      <c r="C83" s="216">
        <f t="shared" ref="C83:AD83" si="40">+C82+C81</f>
        <v>0</v>
      </c>
      <c r="D83" s="216">
        <f t="shared" si="40"/>
        <v>0</v>
      </c>
      <c r="E83" s="216">
        <f t="shared" si="40"/>
        <v>0</v>
      </c>
      <c r="F83" s="216">
        <f t="shared" si="40"/>
        <v>0</v>
      </c>
      <c r="G83" s="216">
        <f t="shared" si="40"/>
        <v>0</v>
      </c>
      <c r="H83" s="216">
        <f t="shared" si="40"/>
        <v>0</v>
      </c>
      <c r="I83" s="216">
        <f t="shared" si="40"/>
        <v>7</v>
      </c>
      <c r="J83" s="216">
        <f t="shared" si="40"/>
        <v>5</v>
      </c>
      <c r="K83" s="216">
        <f t="shared" si="40"/>
        <v>9</v>
      </c>
      <c r="L83" s="216">
        <f t="shared" si="40"/>
        <v>4</v>
      </c>
      <c r="M83" s="216">
        <f t="shared" si="40"/>
        <v>12</v>
      </c>
      <c r="N83" s="216">
        <f t="shared" si="40"/>
        <v>8</v>
      </c>
      <c r="O83" s="410">
        <f t="shared" si="40"/>
        <v>11</v>
      </c>
      <c r="P83" s="410">
        <f t="shared" si="40"/>
        <v>7</v>
      </c>
      <c r="Q83" s="470">
        <f t="shared" si="40"/>
        <v>20</v>
      </c>
      <c r="R83" s="470">
        <f t="shared" si="40"/>
        <v>22</v>
      </c>
      <c r="S83" s="470">
        <f t="shared" si="40"/>
        <v>14</v>
      </c>
      <c r="T83" s="470">
        <f t="shared" si="40"/>
        <v>25</v>
      </c>
      <c r="U83" s="292">
        <f t="shared" si="40"/>
        <v>24</v>
      </c>
      <c r="V83" s="216">
        <f t="shared" si="40"/>
        <v>18</v>
      </c>
      <c r="W83" s="216">
        <f t="shared" si="40"/>
        <v>27</v>
      </c>
      <c r="X83" s="216">
        <f t="shared" si="40"/>
        <v>20</v>
      </c>
      <c r="Y83" s="216">
        <f t="shared" si="40"/>
        <v>7</v>
      </c>
      <c r="Z83" s="216">
        <f t="shared" si="40"/>
        <v>19</v>
      </c>
      <c r="AA83" s="216">
        <f t="shared" si="40"/>
        <v>21</v>
      </c>
      <c r="AB83" s="216">
        <f t="shared" si="40"/>
        <v>15</v>
      </c>
      <c r="AC83" s="216">
        <f t="shared" si="40"/>
        <v>19</v>
      </c>
      <c r="AD83" s="238">
        <f t="shared" si="40"/>
        <v>11</v>
      </c>
      <c r="AE83" s="445" t="str">
        <f t="shared" si="36"/>
        <v xml:space="preserve"> </v>
      </c>
      <c r="AF83" s="445" t="str">
        <f t="shared" si="37"/>
        <v xml:space="preserve"> </v>
      </c>
      <c r="AG83" s="446" t="str">
        <f t="shared" si="38"/>
        <v xml:space="preserve"> </v>
      </c>
      <c r="AH83" s="216">
        <f t="shared" si="39"/>
        <v>15</v>
      </c>
      <c r="AI83" s="154"/>
      <c r="AJ83" s="159"/>
      <c r="AK83" s="159"/>
      <c r="AL83" s="159"/>
      <c r="AM83" s="159"/>
      <c r="AN83" s="1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B83" s="59"/>
      <c r="FC83" s="59"/>
      <c r="FD83" s="59"/>
      <c r="FE83" s="59"/>
      <c r="FF83" s="59"/>
      <c r="FG83" s="59"/>
      <c r="FH83" s="59"/>
      <c r="FI83" s="59"/>
      <c r="FJ83" s="59"/>
      <c r="FK83" s="59"/>
    </row>
    <row r="84" spans="1:175" ht="15" customHeight="1" x14ac:dyDescent="0.2">
      <c r="A84" s="583" t="s">
        <v>84</v>
      </c>
      <c r="B84" s="584"/>
      <c r="C84" s="584"/>
      <c r="D84" s="584"/>
      <c r="E84" s="584"/>
      <c r="F84" s="584"/>
      <c r="G84" s="584"/>
      <c r="H84" s="584"/>
      <c r="I84" s="584"/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5"/>
      <c r="AI84" s="154"/>
      <c r="AJ84" s="159"/>
      <c r="AK84" s="159"/>
      <c r="AL84" s="159"/>
      <c r="AM84" s="159"/>
      <c r="AN84" s="1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59"/>
      <c r="FG84" s="59"/>
      <c r="FH84" s="59"/>
      <c r="FI84" s="59"/>
      <c r="FJ84" s="59"/>
      <c r="FK84" s="59"/>
    </row>
    <row r="85" spans="1:175" s="101" customFormat="1" ht="15" customHeight="1" x14ac:dyDescent="0.2">
      <c r="A85" s="100" t="s">
        <v>110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80"/>
      <c r="N85" s="380"/>
      <c r="O85" s="408"/>
      <c r="P85" s="448"/>
      <c r="Q85" s="471"/>
      <c r="R85" s="471">
        <v>0</v>
      </c>
      <c r="S85" s="471"/>
      <c r="T85" s="471"/>
      <c r="U85" s="381">
        <v>5</v>
      </c>
      <c r="V85" s="380">
        <v>0</v>
      </c>
      <c r="W85" s="380">
        <v>0</v>
      </c>
      <c r="X85" s="382">
        <v>0</v>
      </c>
      <c r="Y85" s="382">
        <v>7</v>
      </c>
      <c r="Z85" s="380">
        <v>0</v>
      </c>
      <c r="AA85" s="380">
        <v>0</v>
      </c>
      <c r="AB85" s="380">
        <v>0</v>
      </c>
      <c r="AC85" s="380">
        <v>0</v>
      </c>
      <c r="AD85" s="375">
        <v>0</v>
      </c>
      <c r="AE85" s="136" t="str">
        <f t="shared" ref="AE85:AE90" si="41">IF(AD85=0," ",IF(AH85&gt;20,(AD85-AC85)/AC85," "))</f>
        <v xml:space="preserve"> </v>
      </c>
      <c r="AF85" s="302" t="str">
        <f t="shared" ref="AF85:AF90" si="42">IF(AD85=0," ",IF(AH85&gt;20,(AD85-Y85)/Y85," "))</f>
        <v xml:space="preserve"> </v>
      </c>
      <c r="AG85" s="303" t="str">
        <f t="shared" ref="AG85:AG90" si="43">IF(AD85=0," ",(IF(AH85&gt;20,(AD85-T85)/T85," ")))</f>
        <v xml:space="preserve"> </v>
      </c>
      <c r="AH85" s="211" t="str">
        <f t="shared" ref="AH85:AH90" si="44">IF(AB85&gt;0,AVERAGE(AB85:AD85),"  ")</f>
        <v xml:space="preserve">  </v>
      </c>
      <c r="AI85" s="162"/>
      <c r="AJ85" s="162"/>
      <c r="AK85" s="162"/>
      <c r="AL85" s="162"/>
      <c r="AM85" s="162"/>
      <c r="AN85" s="162"/>
    </row>
    <row r="86" spans="1:175" ht="15" customHeight="1" x14ac:dyDescent="0.2">
      <c r="A86" s="31" t="s">
        <v>99</v>
      </c>
      <c r="B86" s="133">
        <v>10</v>
      </c>
      <c r="C86" s="209">
        <v>5</v>
      </c>
      <c r="D86" s="133">
        <v>10</v>
      </c>
      <c r="E86" s="133">
        <v>7</v>
      </c>
      <c r="F86" s="133">
        <v>11</v>
      </c>
      <c r="G86" s="133">
        <v>13</v>
      </c>
      <c r="H86" s="22">
        <v>8</v>
      </c>
      <c r="I86" s="22">
        <v>5</v>
      </c>
      <c r="J86" s="134">
        <v>6</v>
      </c>
      <c r="K86" s="133">
        <f>1+5</f>
        <v>6</v>
      </c>
      <c r="L86" s="133">
        <v>7</v>
      </c>
      <c r="M86" s="133">
        <v>7</v>
      </c>
      <c r="N86" s="22">
        <v>2</v>
      </c>
      <c r="O86" s="386">
        <v>8</v>
      </c>
      <c r="P86" s="386">
        <v>4</v>
      </c>
      <c r="Q86" s="454">
        <v>4</v>
      </c>
      <c r="R86" s="454">
        <v>14</v>
      </c>
      <c r="S86" s="504">
        <v>8</v>
      </c>
      <c r="T86" s="454">
        <v>17</v>
      </c>
      <c r="U86" s="397">
        <v>6</v>
      </c>
      <c r="V86" s="134">
        <v>6</v>
      </c>
      <c r="W86" s="134">
        <v>3</v>
      </c>
      <c r="X86" s="22">
        <v>1</v>
      </c>
      <c r="Y86" s="22">
        <v>2</v>
      </c>
      <c r="Z86" s="134">
        <v>0</v>
      </c>
      <c r="AA86" s="134">
        <v>0</v>
      </c>
      <c r="AB86" s="134">
        <v>1</v>
      </c>
      <c r="AC86" s="134">
        <v>0</v>
      </c>
      <c r="AD86" s="135">
        <v>2</v>
      </c>
      <c r="AE86" s="136" t="str">
        <f t="shared" si="41"/>
        <v xml:space="preserve"> </v>
      </c>
      <c r="AF86" s="302" t="str">
        <f t="shared" si="42"/>
        <v xml:space="preserve"> </v>
      </c>
      <c r="AG86" s="303" t="str">
        <f t="shared" si="43"/>
        <v xml:space="preserve"> </v>
      </c>
      <c r="AH86" s="211">
        <f t="shared" si="44"/>
        <v>1</v>
      </c>
      <c r="AI86" s="154"/>
      <c r="AJ86" s="159"/>
      <c r="AK86" s="159"/>
      <c r="AL86" s="159"/>
      <c r="AM86" s="159"/>
      <c r="AN86" s="1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</row>
    <row r="87" spans="1:175" ht="15" customHeight="1" x14ac:dyDescent="0.2">
      <c r="A87" s="31" t="s">
        <v>100</v>
      </c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161"/>
      <c r="N87" s="161"/>
      <c r="O87" s="409"/>
      <c r="P87" s="409"/>
      <c r="Q87" s="469"/>
      <c r="R87" s="469">
        <v>0</v>
      </c>
      <c r="S87" s="469"/>
      <c r="T87" s="469"/>
      <c r="U87" s="164"/>
      <c r="V87" s="161">
        <v>8</v>
      </c>
      <c r="W87" s="161">
        <v>0</v>
      </c>
      <c r="X87" s="22">
        <v>1</v>
      </c>
      <c r="Y87" s="22">
        <v>7</v>
      </c>
      <c r="Z87" s="161">
        <v>7</v>
      </c>
      <c r="AA87" s="161">
        <v>9</v>
      </c>
      <c r="AB87" s="161">
        <v>5</v>
      </c>
      <c r="AC87" s="161">
        <v>14</v>
      </c>
      <c r="AD87" s="213">
        <v>8</v>
      </c>
      <c r="AE87" s="346" t="str">
        <f t="shared" si="41"/>
        <v xml:space="preserve"> </v>
      </c>
      <c r="AF87" s="347" t="str">
        <f t="shared" si="42"/>
        <v xml:space="preserve"> </v>
      </c>
      <c r="AG87" s="348" t="str">
        <f t="shared" si="43"/>
        <v xml:space="preserve"> </v>
      </c>
      <c r="AH87" s="364">
        <f t="shared" si="44"/>
        <v>9</v>
      </c>
      <c r="AI87" s="154"/>
      <c r="AJ87" s="159"/>
      <c r="AK87" s="159"/>
      <c r="AL87" s="159"/>
      <c r="AM87" s="159"/>
      <c r="AN87" s="1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9"/>
      <c r="FF87" s="59"/>
      <c r="FG87" s="59"/>
      <c r="FH87" s="59"/>
      <c r="FI87" s="59"/>
      <c r="FJ87" s="59"/>
      <c r="FK87" s="59"/>
    </row>
    <row r="88" spans="1:175" ht="15" customHeight="1" x14ac:dyDescent="0.2">
      <c r="A88" s="215" t="s">
        <v>101</v>
      </c>
      <c r="B88" s="216">
        <f>+B87+B86+B85</f>
        <v>10</v>
      </c>
      <c r="C88" s="216">
        <f t="shared" ref="C88:AD88" si="45">+C87+C86+C85</f>
        <v>5</v>
      </c>
      <c r="D88" s="216">
        <f t="shared" si="45"/>
        <v>10</v>
      </c>
      <c r="E88" s="216">
        <f t="shared" si="45"/>
        <v>7</v>
      </c>
      <c r="F88" s="216">
        <f t="shared" si="45"/>
        <v>11</v>
      </c>
      <c r="G88" s="216">
        <f t="shared" si="45"/>
        <v>13</v>
      </c>
      <c r="H88" s="216">
        <f t="shared" si="45"/>
        <v>8</v>
      </c>
      <c r="I88" s="216">
        <f t="shared" si="45"/>
        <v>5</v>
      </c>
      <c r="J88" s="216">
        <f t="shared" si="45"/>
        <v>6</v>
      </c>
      <c r="K88" s="216">
        <f t="shared" si="45"/>
        <v>6</v>
      </c>
      <c r="L88" s="216">
        <f t="shared" si="45"/>
        <v>7</v>
      </c>
      <c r="M88" s="216">
        <f t="shared" si="45"/>
        <v>7</v>
      </c>
      <c r="N88" s="216">
        <f t="shared" si="45"/>
        <v>2</v>
      </c>
      <c r="O88" s="410">
        <f t="shared" si="45"/>
        <v>8</v>
      </c>
      <c r="P88" s="410">
        <f t="shared" si="45"/>
        <v>4</v>
      </c>
      <c r="Q88" s="470">
        <f t="shared" si="45"/>
        <v>4</v>
      </c>
      <c r="R88" s="470">
        <f t="shared" si="45"/>
        <v>14</v>
      </c>
      <c r="S88" s="470">
        <f t="shared" si="45"/>
        <v>8</v>
      </c>
      <c r="T88" s="470">
        <f t="shared" si="45"/>
        <v>17</v>
      </c>
      <c r="U88" s="292">
        <f t="shared" si="45"/>
        <v>11</v>
      </c>
      <c r="V88" s="216">
        <f t="shared" si="45"/>
        <v>14</v>
      </c>
      <c r="W88" s="216">
        <f t="shared" si="45"/>
        <v>3</v>
      </c>
      <c r="X88" s="216">
        <f t="shared" si="45"/>
        <v>2</v>
      </c>
      <c r="Y88" s="216">
        <f t="shared" si="45"/>
        <v>16</v>
      </c>
      <c r="Z88" s="216">
        <f t="shared" si="45"/>
        <v>7</v>
      </c>
      <c r="AA88" s="216">
        <f t="shared" si="45"/>
        <v>9</v>
      </c>
      <c r="AB88" s="216">
        <f t="shared" si="45"/>
        <v>6</v>
      </c>
      <c r="AC88" s="216">
        <f t="shared" si="45"/>
        <v>14</v>
      </c>
      <c r="AD88" s="238">
        <f t="shared" si="45"/>
        <v>10</v>
      </c>
      <c r="AE88" s="353" t="str">
        <f t="shared" si="41"/>
        <v xml:space="preserve"> </v>
      </c>
      <c r="AF88" s="353" t="str">
        <f t="shared" si="42"/>
        <v xml:space="preserve"> </v>
      </c>
      <c r="AG88" s="353" t="str">
        <f t="shared" si="43"/>
        <v xml:space="preserve"> </v>
      </c>
      <c r="AH88" s="238">
        <f t="shared" si="44"/>
        <v>10</v>
      </c>
      <c r="AI88" s="154"/>
      <c r="AJ88" s="159"/>
      <c r="AK88" s="159"/>
      <c r="AL88" s="159"/>
      <c r="AM88" s="159"/>
      <c r="AN88" s="1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9"/>
      <c r="FF88" s="59"/>
      <c r="FG88" s="59"/>
      <c r="FH88" s="59"/>
      <c r="FI88" s="59"/>
      <c r="FJ88" s="59"/>
      <c r="FK88" s="59"/>
    </row>
    <row r="89" spans="1:175" ht="15" customHeight="1" x14ac:dyDescent="0.2">
      <c r="A89" s="163" t="s">
        <v>102</v>
      </c>
      <c r="B89" s="201">
        <v>0</v>
      </c>
      <c r="C89" s="201">
        <v>0</v>
      </c>
      <c r="D89" s="201">
        <v>4</v>
      </c>
      <c r="E89" s="201">
        <v>0</v>
      </c>
      <c r="F89" s="201">
        <v>0</v>
      </c>
      <c r="G89" s="201">
        <v>0</v>
      </c>
      <c r="H89" s="202">
        <v>0</v>
      </c>
      <c r="I89" s="202">
        <v>0</v>
      </c>
      <c r="J89" s="201">
        <v>19</v>
      </c>
      <c r="K89" s="201">
        <v>29</v>
      </c>
      <c r="L89" s="201">
        <v>31</v>
      </c>
      <c r="M89" s="201">
        <v>45</v>
      </c>
      <c r="N89" s="202">
        <v>27</v>
      </c>
      <c r="O89" s="389">
        <v>39</v>
      </c>
      <c r="P89" s="389">
        <v>46</v>
      </c>
      <c r="Q89" s="457">
        <v>62</v>
      </c>
      <c r="R89" s="457">
        <v>54</v>
      </c>
      <c r="S89" s="506">
        <v>72</v>
      </c>
      <c r="T89" s="457">
        <v>73</v>
      </c>
      <c r="U89" s="399">
        <v>79</v>
      </c>
      <c r="V89" s="201">
        <v>71</v>
      </c>
      <c r="W89" s="201">
        <v>119</v>
      </c>
      <c r="X89" s="202">
        <v>126</v>
      </c>
      <c r="Y89" s="202">
        <v>160</v>
      </c>
      <c r="Z89" s="201">
        <v>169</v>
      </c>
      <c r="AA89" s="201">
        <v>176</v>
      </c>
      <c r="AB89" s="201">
        <v>192</v>
      </c>
      <c r="AC89" s="201">
        <v>196</v>
      </c>
      <c r="AD89" s="262">
        <v>171</v>
      </c>
      <c r="AE89" s="354">
        <f t="shared" si="41"/>
        <v>-0.12755102040816327</v>
      </c>
      <c r="AF89" s="354">
        <f t="shared" si="42"/>
        <v>6.8750000000000006E-2</v>
      </c>
      <c r="AG89" s="354">
        <f t="shared" si="43"/>
        <v>1.3424657534246576</v>
      </c>
      <c r="AH89" s="262">
        <f t="shared" si="44"/>
        <v>186.33333333333334</v>
      </c>
      <c r="AI89" s="154"/>
      <c r="AJ89" s="159"/>
      <c r="AK89" s="159"/>
      <c r="AL89" s="159"/>
      <c r="AM89" s="159"/>
      <c r="AN89" s="1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9"/>
      <c r="FF89" s="59"/>
      <c r="FG89" s="59"/>
      <c r="FH89" s="59"/>
      <c r="FI89" s="59"/>
      <c r="FJ89" s="59"/>
      <c r="FK89" s="59"/>
    </row>
    <row r="90" spans="1:175" ht="15" customHeight="1" thickBot="1" x14ac:dyDescent="0.25">
      <c r="A90" s="214" t="s">
        <v>86</v>
      </c>
      <c r="B90" s="219">
        <f>+B89+B88+B83</f>
        <v>10</v>
      </c>
      <c r="C90" s="219">
        <f t="shared" ref="C90:AD90" si="46">+C89+C88+C83</f>
        <v>5</v>
      </c>
      <c r="D90" s="219">
        <f t="shared" si="46"/>
        <v>14</v>
      </c>
      <c r="E90" s="219">
        <f t="shared" si="46"/>
        <v>7</v>
      </c>
      <c r="F90" s="219">
        <f t="shared" si="46"/>
        <v>11</v>
      </c>
      <c r="G90" s="219">
        <f t="shared" si="46"/>
        <v>13</v>
      </c>
      <c r="H90" s="219">
        <f t="shared" si="46"/>
        <v>8</v>
      </c>
      <c r="I90" s="219">
        <f t="shared" si="46"/>
        <v>12</v>
      </c>
      <c r="J90" s="219">
        <f t="shared" si="46"/>
        <v>30</v>
      </c>
      <c r="K90" s="219">
        <f t="shared" si="46"/>
        <v>44</v>
      </c>
      <c r="L90" s="219">
        <f t="shared" si="46"/>
        <v>42</v>
      </c>
      <c r="M90" s="219">
        <f t="shared" si="46"/>
        <v>64</v>
      </c>
      <c r="N90" s="219">
        <f t="shared" si="46"/>
        <v>37</v>
      </c>
      <c r="O90" s="411">
        <f t="shared" si="46"/>
        <v>58</v>
      </c>
      <c r="P90" s="449">
        <f t="shared" si="46"/>
        <v>57</v>
      </c>
      <c r="Q90" s="472">
        <f t="shared" si="46"/>
        <v>86</v>
      </c>
      <c r="R90" s="472">
        <f t="shared" si="46"/>
        <v>90</v>
      </c>
      <c r="S90" s="472">
        <f t="shared" si="46"/>
        <v>94</v>
      </c>
      <c r="T90" s="472">
        <f t="shared" si="46"/>
        <v>115</v>
      </c>
      <c r="U90" s="293">
        <f t="shared" si="46"/>
        <v>114</v>
      </c>
      <c r="V90" s="219">
        <f t="shared" si="46"/>
        <v>103</v>
      </c>
      <c r="W90" s="219">
        <f t="shared" si="46"/>
        <v>149</v>
      </c>
      <c r="X90" s="219">
        <f t="shared" si="46"/>
        <v>148</v>
      </c>
      <c r="Y90" s="219">
        <f t="shared" si="46"/>
        <v>183</v>
      </c>
      <c r="Z90" s="219">
        <f t="shared" si="46"/>
        <v>195</v>
      </c>
      <c r="AA90" s="219">
        <f t="shared" si="46"/>
        <v>206</v>
      </c>
      <c r="AB90" s="219">
        <f t="shared" si="46"/>
        <v>213</v>
      </c>
      <c r="AC90" s="219">
        <f t="shared" si="46"/>
        <v>229</v>
      </c>
      <c r="AD90" s="219">
        <f t="shared" si="46"/>
        <v>192</v>
      </c>
      <c r="AE90" s="355">
        <f t="shared" si="41"/>
        <v>-0.16157205240174671</v>
      </c>
      <c r="AF90" s="355">
        <f t="shared" si="42"/>
        <v>4.9180327868852458E-2</v>
      </c>
      <c r="AG90" s="355">
        <f t="shared" si="43"/>
        <v>0.66956521739130437</v>
      </c>
      <c r="AH90" s="219">
        <f t="shared" si="44"/>
        <v>211.33333333333334</v>
      </c>
      <c r="AI90" s="154"/>
      <c r="AJ90" s="159"/>
      <c r="AK90" s="159"/>
      <c r="AL90" s="159"/>
      <c r="AM90" s="159"/>
      <c r="AN90" s="1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  <c r="FG90" s="59"/>
      <c r="FH90" s="59"/>
      <c r="FI90" s="59"/>
      <c r="FJ90" s="59"/>
      <c r="FK90" s="59"/>
    </row>
    <row r="91" spans="1:175" ht="15" customHeight="1" thickTop="1" x14ac:dyDescent="0.2">
      <c r="A91" s="33" t="s">
        <v>87</v>
      </c>
      <c r="B91" s="34"/>
      <c r="C91" s="34"/>
      <c r="D91" s="34"/>
      <c r="E91" s="35"/>
      <c r="F91" s="35"/>
      <c r="G91" s="36"/>
      <c r="H91" s="36"/>
      <c r="I91" s="36"/>
      <c r="J91" s="36"/>
      <c r="K91" s="35"/>
      <c r="L91" s="35"/>
      <c r="M91" s="35"/>
      <c r="N91" s="35"/>
      <c r="O91" s="37"/>
      <c r="P91" s="37"/>
      <c r="Q91" s="37"/>
      <c r="R91" s="37"/>
      <c r="S91" s="37"/>
      <c r="T91" s="38"/>
      <c r="U91" s="38"/>
      <c r="V91" s="38"/>
      <c r="W91" s="38"/>
      <c r="X91" s="38"/>
      <c r="Y91" s="38"/>
      <c r="Z91" s="39"/>
      <c r="AA91" s="39"/>
      <c r="AB91" s="39"/>
      <c r="AC91" s="39"/>
      <c r="AD91" s="39"/>
      <c r="AE91" s="351"/>
      <c r="AF91" s="352"/>
      <c r="AG91" s="351"/>
      <c r="AH91" s="40"/>
      <c r="AI91" s="154"/>
      <c r="AJ91" s="159"/>
      <c r="AK91" s="159"/>
      <c r="AL91" s="159"/>
      <c r="AM91" s="159"/>
      <c r="AN91" s="1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9"/>
      <c r="FS91" s="59"/>
    </row>
    <row r="92" spans="1:175" ht="15" customHeight="1" x14ac:dyDescent="0.2">
      <c r="A92" s="96" t="s">
        <v>142</v>
      </c>
      <c r="B92" s="267"/>
      <c r="C92" s="275"/>
      <c r="D92" s="275"/>
      <c r="E92" s="275"/>
      <c r="F92" s="275"/>
      <c r="G92" s="275"/>
      <c r="H92" s="276">
        <v>0</v>
      </c>
      <c r="I92" s="276"/>
      <c r="J92" s="277"/>
      <c r="K92" s="275"/>
      <c r="L92" s="275">
        <v>0</v>
      </c>
      <c r="M92" s="275"/>
      <c r="N92" s="276">
        <v>0</v>
      </c>
      <c r="O92" s="412">
        <v>0</v>
      </c>
      <c r="P92" s="450">
        <v>0</v>
      </c>
      <c r="Q92" s="473">
        <v>0</v>
      </c>
      <c r="R92" s="473">
        <v>15</v>
      </c>
      <c r="S92" s="513">
        <v>15</v>
      </c>
      <c r="T92" s="473">
        <v>12</v>
      </c>
      <c r="U92" s="541">
        <v>13</v>
      </c>
      <c r="V92" s="270">
        <v>19</v>
      </c>
      <c r="W92" s="269">
        <v>18</v>
      </c>
      <c r="X92" s="268">
        <v>18</v>
      </c>
      <c r="Y92" s="268">
        <v>18</v>
      </c>
      <c r="Z92" s="443">
        <v>19</v>
      </c>
      <c r="AA92" s="443">
        <v>10</v>
      </c>
      <c r="AB92" s="443">
        <v>21</v>
      </c>
      <c r="AC92" s="443">
        <v>10</v>
      </c>
      <c r="AD92" s="147">
        <v>6</v>
      </c>
      <c r="AE92" s="340" t="str">
        <f t="shared" ref="AE92:AE96" si="47">IF(AD92=0," ",IF(AH92&gt;20,(AD92-AC92)/AC92," "))</f>
        <v xml:space="preserve"> </v>
      </c>
      <c r="AF92" s="341" t="str">
        <f t="shared" ref="AF92:AF96" si="48">IF(AD92=0," ",IF(AH92&gt;20,(AD92-Y92)/Y92," "))</f>
        <v xml:space="preserve"> </v>
      </c>
      <c r="AG92" s="342" t="str">
        <f t="shared" ref="AG92:AG96" si="49">IF(AD92=0," ",(IF(AH92&gt;20,(AD92-T92)/T92," ")))</f>
        <v xml:space="preserve"> </v>
      </c>
      <c r="AH92" s="363">
        <f t="shared" ref="AH92:AH96" si="50">IF(AB92&gt;0,AVERAGE(AB92:AD92),"  ")</f>
        <v>12.333333333333334</v>
      </c>
      <c r="AI92" s="154"/>
      <c r="AJ92" s="159"/>
      <c r="AK92" s="159"/>
      <c r="AL92" s="159"/>
      <c r="AM92" s="159"/>
      <c r="AN92" s="1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  <c r="FE92" s="59"/>
      <c r="FF92" s="59"/>
      <c r="FG92" s="59"/>
      <c r="FH92" s="59"/>
      <c r="FI92" s="59"/>
      <c r="FJ92" s="59"/>
      <c r="FK92" s="59"/>
    </row>
    <row r="93" spans="1:175" ht="15" customHeight="1" x14ac:dyDescent="0.2">
      <c r="A93" s="97" t="s">
        <v>103</v>
      </c>
      <c r="B93" s="271"/>
      <c r="C93" s="278"/>
      <c r="D93" s="278"/>
      <c r="E93" s="278"/>
      <c r="F93" s="278">
        <v>0</v>
      </c>
      <c r="G93" s="278">
        <v>0</v>
      </c>
      <c r="H93" s="278"/>
      <c r="I93" s="278"/>
      <c r="J93" s="278"/>
      <c r="K93" s="278">
        <v>0</v>
      </c>
      <c r="L93" s="278">
        <v>0</v>
      </c>
      <c r="M93" s="279">
        <v>0</v>
      </c>
      <c r="N93" s="279">
        <v>0</v>
      </c>
      <c r="O93" s="413">
        <v>0</v>
      </c>
      <c r="P93" s="272">
        <v>8</v>
      </c>
      <c r="Q93" s="474">
        <v>7</v>
      </c>
      <c r="R93" s="474">
        <f>5+3</f>
        <v>8</v>
      </c>
      <c r="S93" s="474">
        <f>6+2</f>
        <v>8</v>
      </c>
      <c r="T93" s="474">
        <v>16</v>
      </c>
      <c r="U93" s="542">
        <f>6+2</f>
        <v>8</v>
      </c>
      <c r="V93" s="273">
        <v>8</v>
      </c>
      <c r="W93" s="272">
        <v>1</v>
      </c>
      <c r="X93" s="268">
        <v>5</v>
      </c>
      <c r="Y93" s="268">
        <v>14</v>
      </c>
      <c r="Z93" s="409">
        <v>10</v>
      </c>
      <c r="AA93" s="409">
        <v>10</v>
      </c>
      <c r="AB93" s="409">
        <v>3</v>
      </c>
      <c r="AC93" s="409">
        <v>11</v>
      </c>
      <c r="AD93" s="165">
        <v>0</v>
      </c>
      <c r="AE93" s="343" t="str">
        <f t="shared" si="47"/>
        <v xml:space="preserve"> </v>
      </c>
      <c r="AF93" s="344" t="str">
        <f t="shared" si="48"/>
        <v xml:space="preserve"> </v>
      </c>
      <c r="AG93" s="345" t="str">
        <f t="shared" si="49"/>
        <v xml:space="preserve"> </v>
      </c>
      <c r="AH93" s="211">
        <f t="shared" si="50"/>
        <v>4.666666666666667</v>
      </c>
      <c r="AI93" s="154"/>
      <c r="AJ93" s="159"/>
      <c r="AK93" s="159"/>
      <c r="AL93" s="159"/>
      <c r="AM93" s="159"/>
      <c r="AN93" s="1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</row>
    <row r="94" spans="1:175" ht="15" customHeight="1" x14ac:dyDescent="0.2">
      <c r="A94" s="95" t="s">
        <v>104</v>
      </c>
      <c r="B94" s="267">
        <v>12</v>
      </c>
      <c r="C94" s="280">
        <v>7</v>
      </c>
      <c r="D94" s="280">
        <v>11</v>
      </c>
      <c r="E94" s="280">
        <v>13</v>
      </c>
      <c r="F94" s="280">
        <v>16</v>
      </c>
      <c r="G94" s="280">
        <v>15</v>
      </c>
      <c r="H94" s="281">
        <v>15</v>
      </c>
      <c r="I94" s="281">
        <v>23</v>
      </c>
      <c r="J94" s="282">
        <v>17</v>
      </c>
      <c r="K94" s="280">
        <v>22</v>
      </c>
      <c r="L94" s="280">
        <v>27</v>
      </c>
      <c r="M94" s="280">
        <v>20</v>
      </c>
      <c r="N94" s="281">
        <v>22</v>
      </c>
      <c r="O94" s="414">
        <v>22</v>
      </c>
      <c r="P94" s="268">
        <v>16</v>
      </c>
      <c r="Q94" s="473">
        <v>19</v>
      </c>
      <c r="R94" s="473">
        <v>18</v>
      </c>
      <c r="S94" s="513">
        <f>19+2</f>
        <v>21</v>
      </c>
      <c r="T94" s="473">
        <v>21</v>
      </c>
      <c r="U94" s="541">
        <f>19+1</f>
        <v>20</v>
      </c>
      <c r="V94" s="270">
        <v>25</v>
      </c>
      <c r="W94" s="269">
        <v>17</v>
      </c>
      <c r="X94" s="268">
        <v>26</v>
      </c>
      <c r="Y94" s="268">
        <v>22</v>
      </c>
      <c r="Z94" s="443">
        <v>14</v>
      </c>
      <c r="AA94" s="443">
        <v>18</v>
      </c>
      <c r="AB94" s="443">
        <v>18</v>
      </c>
      <c r="AC94" s="443">
        <v>25</v>
      </c>
      <c r="AD94" s="147">
        <v>7</v>
      </c>
      <c r="AE94" s="343" t="str">
        <f t="shared" si="47"/>
        <v xml:space="preserve"> </v>
      </c>
      <c r="AF94" s="344" t="str">
        <f t="shared" si="48"/>
        <v xml:space="preserve"> </v>
      </c>
      <c r="AG94" s="345" t="str">
        <f t="shared" si="49"/>
        <v xml:space="preserve"> </v>
      </c>
      <c r="AH94" s="211">
        <f t="shared" si="50"/>
        <v>16.666666666666668</v>
      </c>
      <c r="AI94" s="154"/>
      <c r="AJ94" s="159"/>
      <c r="AK94" s="159"/>
      <c r="AL94" s="159"/>
      <c r="AM94" s="159"/>
      <c r="AN94" s="1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</row>
    <row r="95" spans="1:175" ht="15" customHeight="1" x14ac:dyDescent="0.2">
      <c r="A95" s="95" t="s">
        <v>105</v>
      </c>
      <c r="B95" s="274">
        <v>6</v>
      </c>
      <c r="C95" s="283">
        <v>6</v>
      </c>
      <c r="D95" s="283">
        <v>2</v>
      </c>
      <c r="E95" s="283">
        <v>0</v>
      </c>
      <c r="F95" s="283">
        <v>6</v>
      </c>
      <c r="G95" s="283">
        <v>7</v>
      </c>
      <c r="H95" s="284">
        <v>8</v>
      </c>
      <c r="I95" s="284">
        <v>4</v>
      </c>
      <c r="J95" s="285">
        <v>6</v>
      </c>
      <c r="K95" s="283">
        <v>3</v>
      </c>
      <c r="L95" s="283">
        <v>6</v>
      </c>
      <c r="M95" s="283">
        <v>7</v>
      </c>
      <c r="N95" s="284">
        <v>10</v>
      </c>
      <c r="O95" s="415">
        <v>7</v>
      </c>
      <c r="P95" s="451">
        <v>9</v>
      </c>
      <c r="Q95" s="473">
        <v>3</v>
      </c>
      <c r="R95" s="473">
        <v>0</v>
      </c>
      <c r="S95" s="513">
        <v>6</v>
      </c>
      <c r="T95" s="473">
        <v>7</v>
      </c>
      <c r="U95" s="541">
        <v>9</v>
      </c>
      <c r="V95" s="270">
        <v>6</v>
      </c>
      <c r="W95" s="269">
        <v>3</v>
      </c>
      <c r="X95" s="268">
        <v>10</v>
      </c>
      <c r="Y95" s="268">
        <v>3</v>
      </c>
      <c r="Z95" s="443">
        <v>5</v>
      </c>
      <c r="AA95" s="443">
        <v>1</v>
      </c>
      <c r="AB95" s="443">
        <v>6</v>
      </c>
      <c r="AC95" s="443">
        <v>3</v>
      </c>
      <c r="AD95" s="147">
        <v>2</v>
      </c>
      <c r="AE95" s="343" t="str">
        <f t="shared" si="47"/>
        <v xml:space="preserve"> </v>
      </c>
      <c r="AF95" s="344" t="str">
        <f t="shared" si="48"/>
        <v xml:space="preserve"> </v>
      </c>
      <c r="AG95" s="345" t="str">
        <f t="shared" si="49"/>
        <v xml:space="preserve"> </v>
      </c>
      <c r="AH95" s="211">
        <f t="shared" si="50"/>
        <v>3.6666666666666665</v>
      </c>
      <c r="AI95" s="154"/>
      <c r="AJ95" s="159"/>
      <c r="AK95" s="159"/>
      <c r="AL95" s="159"/>
      <c r="AM95" s="159"/>
      <c r="AN95" s="1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</row>
    <row r="96" spans="1:175" ht="15" customHeight="1" thickBot="1" x14ac:dyDescent="0.25">
      <c r="A96" s="220" t="s">
        <v>88</v>
      </c>
      <c r="B96" s="99">
        <f>SUM(B92:B95)</f>
        <v>18</v>
      </c>
      <c r="C96" s="99">
        <f t="shared" ref="C96:AD96" si="51">SUM(C92:C95)</f>
        <v>13</v>
      </c>
      <c r="D96" s="99">
        <f t="shared" si="51"/>
        <v>13</v>
      </c>
      <c r="E96" s="99">
        <f t="shared" si="51"/>
        <v>13</v>
      </c>
      <c r="F96" s="99">
        <f t="shared" si="51"/>
        <v>22</v>
      </c>
      <c r="G96" s="99">
        <f t="shared" si="51"/>
        <v>22</v>
      </c>
      <c r="H96" s="99">
        <f t="shared" si="51"/>
        <v>23</v>
      </c>
      <c r="I96" s="99">
        <f t="shared" si="51"/>
        <v>27</v>
      </c>
      <c r="J96" s="99">
        <f t="shared" si="51"/>
        <v>23</v>
      </c>
      <c r="K96" s="99">
        <f t="shared" si="51"/>
        <v>25</v>
      </c>
      <c r="L96" s="99">
        <f t="shared" si="51"/>
        <v>33</v>
      </c>
      <c r="M96" s="99">
        <f t="shared" si="51"/>
        <v>27</v>
      </c>
      <c r="N96" s="99">
        <f t="shared" si="51"/>
        <v>32</v>
      </c>
      <c r="O96" s="393">
        <f t="shared" si="51"/>
        <v>29</v>
      </c>
      <c r="P96" s="393">
        <f t="shared" si="51"/>
        <v>33</v>
      </c>
      <c r="Q96" s="462">
        <f t="shared" si="51"/>
        <v>29</v>
      </c>
      <c r="R96" s="462">
        <f t="shared" si="51"/>
        <v>41</v>
      </c>
      <c r="S96" s="462">
        <f t="shared" si="51"/>
        <v>50</v>
      </c>
      <c r="T96" s="462">
        <f t="shared" si="51"/>
        <v>56</v>
      </c>
      <c r="U96" s="294">
        <f t="shared" si="51"/>
        <v>50</v>
      </c>
      <c r="V96" s="99">
        <f t="shared" si="51"/>
        <v>58</v>
      </c>
      <c r="W96" s="99">
        <f t="shared" si="51"/>
        <v>39</v>
      </c>
      <c r="X96" s="99">
        <f t="shared" si="51"/>
        <v>59</v>
      </c>
      <c r="Y96" s="99">
        <f t="shared" si="51"/>
        <v>57</v>
      </c>
      <c r="Z96" s="99">
        <f t="shared" si="51"/>
        <v>48</v>
      </c>
      <c r="AA96" s="99">
        <f t="shared" si="51"/>
        <v>39</v>
      </c>
      <c r="AB96" s="99">
        <f t="shared" si="51"/>
        <v>48</v>
      </c>
      <c r="AC96" s="99">
        <f t="shared" si="51"/>
        <v>49</v>
      </c>
      <c r="AD96" s="99">
        <f t="shared" si="51"/>
        <v>15</v>
      </c>
      <c r="AE96" s="181">
        <f t="shared" si="47"/>
        <v>-0.69387755102040816</v>
      </c>
      <c r="AF96" s="181">
        <f t="shared" si="48"/>
        <v>-0.73684210526315785</v>
      </c>
      <c r="AG96" s="181">
        <f t="shared" si="49"/>
        <v>-0.7321428571428571</v>
      </c>
      <c r="AH96" s="99">
        <f t="shared" si="50"/>
        <v>37.333333333333336</v>
      </c>
      <c r="AI96" s="166"/>
      <c r="AJ96" s="167"/>
      <c r="AK96" s="167"/>
      <c r="AL96" s="167"/>
      <c r="AM96" s="167"/>
      <c r="AN96" s="167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</row>
    <row r="97" spans="1:175" ht="15" customHeight="1" thickTop="1" x14ac:dyDescent="0.2">
      <c r="A97" s="221" t="s">
        <v>89</v>
      </c>
      <c r="B97" s="223"/>
      <c r="C97" s="223"/>
      <c r="D97" s="224"/>
      <c r="E97" s="224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225"/>
      <c r="AA97" s="225"/>
      <c r="AB97" s="225"/>
      <c r="AC97" s="225"/>
      <c r="AD97" s="225"/>
      <c r="AE97" s="225"/>
      <c r="AF97" s="225"/>
      <c r="AG97" s="184"/>
      <c r="AH97" s="185"/>
      <c r="AI97" s="166"/>
      <c r="AJ97" s="167"/>
      <c r="AK97" s="167"/>
      <c r="AL97" s="167"/>
      <c r="AM97" s="167"/>
      <c r="AN97" s="167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</row>
    <row r="98" spans="1:175" ht="15" customHeight="1" x14ac:dyDescent="0.2">
      <c r="A98" s="31" t="s">
        <v>106</v>
      </c>
      <c r="B98" s="174"/>
      <c r="C98" s="174"/>
      <c r="D98" s="174"/>
      <c r="E98" s="174"/>
      <c r="F98" s="174"/>
      <c r="G98" s="226"/>
      <c r="H98" s="157"/>
      <c r="I98" s="157">
        <v>0</v>
      </c>
      <c r="J98" s="227"/>
      <c r="K98" s="227"/>
      <c r="L98" s="227">
        <v>0</v>
      </c>
      <c r="M98" s="227"/>
      <c r="N98" s="157"/>
      <c r="O98" s="385">
        <v>0</v>
      </c>
      <c r="P98" s="385">
        <v>0</v>
      </c>
      <c r="Q98" s="475">
        <v>0</v>
      </c>
      <c r="R98" s="475">
        <v>0</v>
      </c>
      <c r="S98" s="503">
        <v>2</v>
      </c>
      <c r="T98" s="475">
        <v>2</v>
      </c>
      <c r="U98" s="297">
        <v>6</v>
      </c>
      <c r="V98" s="228">
        <v>4</v>
      </c>
      <c r="W98" s="228">
        <v>5</v>
      </c>
      <c r="X98" s="157">
        <v>2</v>
      </c>
      <c r="Y98" s="157">
        <v>4</v>
      </c>
      <c r="Z98" s="228">
        <v>2</v>
      </c>
      <c r="AA98" s="228">
        <v>6</v>
      </c>
      <c r="AB98" s="228">
        <v>3</v>
      </c>
      <c r="AC98" s="228">
        <v>3</v>
      </c>
      <c r="AD98" s="229">
        <v>3</v>
      </c>
      <c r="AE98" s="197" t="str">
        <f t="shared" ref="AE98:AE102" si="52">IF(AD98=0," ",IF(AH98&gt;20,(AD98-AC98)/AC98," "))</f>
        <v xml:space="preserve"> </v>
      </c>
      <c r="AF98" s="349" t="str">
        <f t="shared" ref="AF98:AF102" si="53">IF(AD98=0," ",IF(AH98&gt;20,(AD98-Y98)/Y98," "))</f>
        <v xml:space="preserve"> </v>
      </c>
      <c r="AG98" s="350" t="str">
        <f t="shared" ref="AG98:AG102" si="54">IF(AD98=0," ",(IF(AH98&gt;20,(AD98-T98)/T98," ")))</f>
        <v xml:space="preserve"> </v>
      </c>
      <c r="AH98" s="365">
        <f t="shared" ref="AH98:AH102" si="55">IF(AB98&gt;0,AVERAGE(AB98:AD98),"  ")</f>
        <v>3</v>
      </c>
      <c r="AI98" s="154"/>
      <c r="AJ98" s="159"/>
      <c r="AK98" s="159"/>
      <c r="AL98" s="159"/>
      <c r="AM98" s="159"/>
      <c r="AN98" s="1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</row>
    <row r="99" spans="1:175" ht="15" customHeight="1" x14ac:dyDescent="0.2">
      <c r="A99" s="31" t="s">
        <v>107</v>
      </c>
      <c r="B99" s="133"/>
      <c r="C99" s="209"/>
      <c r="D99" s="133"/>
      <c r="E99" s="133"/>
      <c r="F99" s="133">
        <v>0</v>
      </c>
      <c r="G99" s="133"/>
      <c r="H99" s="22"/>
      <c r="I99" s="22"/>
      <c r="J99" s="134"/>
      <c r="K99" s="133"/>
      <c r="L99" s="133">
        <v>0</v>
      </c>
      <c r="M99" s="133">
        <v>0</v>
      </c>
      <c r="N99" s="22">
        <v>0</v>
      </c>
      <c r="O99" s="386">
        <v>0</v>
      </c>
      <c r="P99" s="386">
        <v>7</v>
      </c>
      <c r="Q99" s="454">
        <v>3</v>
      </c>
      <c r="R99" s="454">
        <v>6</v>
      </c>
      <c r="S99" s="504">
        <v>9</v>
      </c>
      <c r="T99" s="454">
        <v>12</v>
      </c>
      <c r="U99" s="397">
        <v>8</v>
      </c>
      <c r="V99" s="134">
        <v>9</v>
      </c>
      <c r="W99" s="134">
        <v>3</v>
      </c>
      <c r="X99" s="22">
        <v>5</v>
      </c>
      <c r="Y99" s="22">
        <v>9</v>
      </c>
      <c r="Z99" s="134">
        <v>12</v>
      </c>
      <c r="AA99" s="134">
        <v>8</v>
      </c>
      <c r="AB99" s="134">
        <v>3</v>
      </c>
      <c r="AC99" s="134">
        <v>9</v>
      </c>
      <c r="AD99" s="135">
        <v>11</v>
      </c>
      <c r="AE99" s="136" t="str">
        <f t="shared" si="52"/>
        <v xml:space="preserve"> </v>
      </c>
      <c r="AF99" s="302" t="str">
        <f t="shared" si="53"/>
        <v xml:space="preserve"> </v>
      </c>
      <c r="AG99" s="303" t="str">
        <f t="shared" si="54"/>
        <v xml:space="preserve"> </v>
      </c>
      <c r="AH99" s="211">
        <f t="shared" si="55"/>
        <v>7.666666666666667</v>
      </c>
      <c r="AI99" s="154"/>
      <c r="AJ99" s="159"/>
      <c r="AK99" s="159"/>
      <c r="AL99" s="159"/>
      <c r="AM99" s="159"/>
      <c r="AN99" s="1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</row>
    <row r="100" spans="1:175" ht="15" customHeight="1" x14ac:dyDescent="0.2">
      <c r="A100" s="31" t="s">
        <v>108</v>
      </c>
      <c r="B100" s="230">
        <v>0</v>
      </c>
      <c r="C100" s="133">
        <v>0</v>
      </c>
      <c r="D100" s="230"/>
      <c r="E100" s="230">
        <v>0</v>
      </c>
      <c r="F100" s="230">
        <v>0</v>
      </c>
      <c r="G100" s="206">
        <v>0</v>
      </c>
      <c r="H100" s="22">
        <v>0</v>
      </c>
      <c r="I100" s="22">
        <v>0</v>
      </c>
      <c r="J100" s="206">
        <v>1</v>
      </c>
      <c r="K100" s="206">
        <v>3</v>
      </c>
      <c r="L100" s="206">
        <v>7</v>
      </c>
      <c r="M100" s="206">
        <v>7</v>
      </c>
      <c r="N100" s="22">
        <v>4</v>
      </c>
      <c r="O100" s="386">
        <v>4</v>
      </c>
      <c r="P100" s="386">
        <v>9</v>
      </c>
      <c r="Q100" s="476">
        <v>4</v>
      </c>
      <c r="R100" s="476">
        <v>3</v>
      </c>
      <c r="S100" s="504">
        <v>6</v>
      </c>
      <c r="T100" s="476">
        <v>3</v>
      </c>
      <c r="U100" s="501">
        <v>4</v>
      </c>
      <c r="V100" s="21">
        <v>4</v>
      </c>
      <c r="W100" s="21">
        <v>2</v>
      </c>
      <c r="X100" s="22">
        <v>5</v>
      </c>
      <c r="Y100" s="22">
        <v>1</v>
      </c>
      <c r="Z100" s="21">
        <v>1</v>
      </c>
      <c r="AA100" s="21">
        <v>0</v>
      </c>
      <c r="AB100" s="21">
        <v>6</v>
      </c>
      <c r="AC100" s="21">
        <v>3</v>
      </c>
      <c r="AD100" s="231">
        <v>4</v>
      </c>
      <c r="AE100" s="136" t="str">
        <f t="shared" si="52"/>
        <v xml:space="preserve"> </v>
      </c>
      <c r="AF100" s="302" t="str">
        <f t="shared" si="53"/>
        <v xml:space="preserve"> </v>
      </c>
      <c r="AG100" s="303" t="str">
        <f t="shared" si="54"/>
        <v xml:space="preserve"> </v>
      </c>
      <c r="AH100" s="211">
        <f t="shared" si="55"/>
        <v>4.333333333333333</v>
      </c>
      <c r="AI100" s="154"/>
      <c r="AJ100" s="159"/>
      <c r="AK100" s="159"/>
      <c r="AL100" s="159"/>
      <c r="AM100" s="159"/>
      <c r="AN100" s="1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</row>
    <row r="101" spans="1:175" ht="15" customHeight="1" thickBot="1" x14ac:dyDescent="0.25">
      <c r="A101" s="222" t="s">
        <v>90</v>
      </c>
      <c r="B101" s="232">
        <f>+B98+B99+B100</f>
        <v>0</v>
      </c>
      <c r="C101" s="232">
        <f t="shared" ref="C101:AD101" si="56">+C98+C99+C100</f>
        <v>0</v>
      </c>
      <c r="D101" s="232">
        <f t="shared" si="56"/>
        <v>0</v>
      </c>
      <c r="E101" s="232">
        <f t="shared" si="56"/>
        <v>0</v>
      </c>
      <c r="F101" s="232">
        <f t="shared" si="56"/>
        <v>0</v>
      </c>
      <c r="G101" s="232">
        <f t="shared" si="56"/>
        <v>0</v>
      </c>
      <c r="H101" s="232">
        <f t="shared" si="56"/>
        <v>0</v>
      </c>
      <c r="I101" s="232">
        <f t="shared" si="56"/>
        <v>0</v>
      </c>
      <c r="J101" s="232">
        <f t="shared" si="56"/>
        <v>1</v>
      </c>
      <c r="K101" s="232">
        <f t="shared" si="56"/>
        <v>3</v>
      </c>
      <c r="L101" s="232">
        <f t="shared" si="56"/>
        <v>7</v>
      </c>
      <c r="M101" s="232">
        <f t="shared" si="56"/>
        <v>7</v>
      </c>
      <c r="N101" s="232">
        <f t="shared" si="56"/>
        <v>4</v>
      </c>
      <c r="O101" s="416">
        <f t="shared" si="56"/>
        <v>4</v>
      </c>
      <c r="P101" s="416">
        <f t="shared" si="56"/>
        <v>16</v>
      </c>
      <c r="Q101" s="464">
        <f t="shared" si="56"/>
        <v>7</v>
      </c>
      <c r="R101" s="464">
        <f t="shared" si="56"/>
        <v>9</v>
      </c>
      <c r="S101" s="464">
        <f t="shared" si="56"/>
        <v>17</v>
      </c>
      <c r="T101" s="464">
        <f t="shared" si="56"/>
        <v>17</v>
      </c>
      <c r="U101" s="295">
        <f t="shared" si="56"/>
        <v>18</v>
      </c>
      <c r="V101" s="232">
        <f t="shared" si="56"/>
        <v>17</v>
      </c>
      <c r="W101" s="232">
        <f t="shared" si="56"/>
        <v>10</v>
      </c>
      <c r="X101" s="232">
        <f t="shared" si="56"/>
        <v>12</v>
      </c>
      <c r="Y101" s="232">
        <f t="shared" si="56"/>
        <v>14</v>
      </c>
      <c r="Z101" s="232">
        <f t="shared" si="56"/>
        <v>15</v>
      </c>
      <c r="AA101" s="232">
        <f t="shared" si="56"/>
        <v>14</v>
      </c>
      <c r="AB101" s="232">
        <f t="shared" si="56"/>
        <v>12</v>
      </c>
      <c r="AC101" s="232">
        <f t="shared" si="56"/>
        <v>15</v>
      </c>
      <c r="AD101" s="232">
        <f t="shared" si="56"/>
        <v>18</v>
      </c>
      <c r="AE101" s="232" t="str">
        <f t="shared" si="52"/>
        <v xml:space="preserve"> </v>
      </c>
      <c r="AF101" s="232" t="str">
        <f t="shared" si="53"/>
        <v xml:space="preserve"> </v>
      </c>
      <c r="AG101" s="232" t="str">
        <f t="shared" si="54"/>
        <v xml:space="preserve"> </v>
      </c>
      <c r="AH101" s="232">
        <f t="shared" si="55"/>
        <v>15</v>
      </c>
      <c r="AI101" s="154"/>
      <c r="AJ101" s="159"/>
      <c r="AK101" s="159"/>
      <c r="AL101" s="159"/>
      <c r="AM101" s="159"/>
      <c r="AN101" s="1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</row>
    <row r="102" spans="1:175" ht="15" customHeight="1" thickTop="1" thickBot="1" x14ac:dyDescent="0.25">
      <c r="A102" s="52" t="s">
        <v>109</v>
      </c>
      <c r="B102" s="259">
        <v>30</v>
      </c>
      <c r="C102" s="259">
        <v>32</v>
      </c>
      <c r="D102" s="260">
        <v>35</v>
      </c>
      <c r="E102" s="260">
        <v>37</v>
      </c>
      <c r="F102" s="259">
        <v>38</v>
      </c>
      <c r="G102" s="259">
        <v>28</v>
      </c>
      <c r="H102" s="259">
        <v>35</v>
      </c>
      <c r="I102" s="259">
        <v>39</v>
      </c>
      <c r="J102" s="259">
        <v>46</v>
      </c>
      <c r="K102" s="259">
        <v>51</v>
      </c>
      <c r="L102" s="259">
        <v>37</v>
      </c>
      <c r="M102" s="259">
        <v>39</v>
      </c>
      <c r="N102" s="259">
        <v>38</v>
      </c>
      <c r="O102" s="417">
        <v>49</v>
      </c>
      <c r="P102" s="417">
        <v>41</v>
      </c>
      <c r="Q102" s="477">
        <v>32</v>
      </c>
      <c r="R102" s="477">
        <v>37</v>
      </c>
      <c r="S102" s="477">
        <v>21</v>
      </c>
      <c r="T102" s="477">
        <v>26</v>
      </c>
      <c r="U102" s="296">
        <v>27</v>
      </c>
      <c r="V102" s="259">
        <v>30</v>
      </c>
      <c r="W102" s="259">
        <v>27</v>
      </c>
      <c r="X102" s="259">
        <v>40</v>
      </c>
      <c r="Y102" s="259">
        <v>36</v>
      </c>
      <c r="Z102" s="261">
        <v>38</v>
      </c>
      <c r="AA102" s="261">
        <v>31</v>
      </c>
      <c r="AB102" s="261">
        <v>32</v>
      </c>
      <c r="AC102" s="261">
        <v>32</v>
      </c>
      <c r="AD102" s="261">
        <v>35</v>
      </c>
      <c r="AE102" s="334">
        <f t="shared" si="52"/>
        <v>9.375E-2</v>
      </c>
      <c r="AF102" s="334">
        <f t="shared" si="53"/>
        <v>-2.7777777777777776E-2</v>
      </c>
      <c r="AG102" s="334">
        <f t="shared" si="54"/>
        <v>0.34615384615384615</v>
      </c>
      <c r="AH102" s="261">
        <f t="shared" si="55"/>
        <v>33</v>
      </c>
      <c r="AI102" s="154"/>
      <c r="AJ102" s="159"/>
      <c r="AK102" s="159"/>
      <c r="AL102" s="159"/>
      <c r="AM102" s="159"/>
      <c r="AN102" s="1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</row>
    <row r="103" spans="1:175" ht="15" customHeight="1" thickTop="1" x14ac:dyDescent="0.2">
      <c r="A103" s="58" t="s">
        <v>93</v>
      </c>
      <c r="B103" s="233"/>
      <c r="C103" s="233"/>
      <c r="D103" s="234"/>
      <c r="E103" s="234"/>
      <c r="F103" s="233"/>
      <c r="G103" s="235"/>
      <c r="H103" s="235"/>
      <c r="I103" s="235"/>
      <c r="J103" s="233"/>
      <c r="K103" s="233"/>
      <c r="L103" s="233"/>
      <c r="M103" s="233"/>
      <c r="N103" s="233"/>
      <c r="O103" s="233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7"/>
      <c r="AA103" s="237"/>
      <c r="AB103" s="237"/>
      <c r="AC103" s="237"/>
      <c r="AD103" s="237"/>
      <c r="AE103" s="376"/>
      <c r="AF103" s="376"/>
      <c r="AG103" s="377"/>
      <c r="AH103" s="378"/>
      <c r="AI103" s="154"/>
      <c r="AJ103" s="159"/>
      <c r="AK103" s="159"/>
      <c r="AL103" s="159"/>
      <c r="AM103" s="159"/>
      <c r="AN103" s="1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/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</row>
    <row r="104" spans="1:175" ht="15" customHeight="1" x14ac:dyDescent="0.2">
      <c r="A104" s="100" t="s">
        <v>125</v>
      </c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28"/>
      <c r="N104" s="228"/>
      <c r="O104" s="418"/>
      <c r="P104" s="418"/>
      <c r="Q104" s="475"/>
      <c r="R104" s="475">
        <v>0</v>
      </c>
      <c r="S104" s="475"/>
      <c r="T104" s="475"/>
      <c r="U104" s="297"/>
      <c r="V104" s="228"/>
      <c r="W104" s="228"/>
      <c r="X104" s="157"/>
      <c r="Y104" s="157">
        <v>6</v>
      </c>
      <c r="Z104" s="228">
        <v>0</v>
      </c>
      <c r="AA104" s="228">
        <v>6</v>
      </c>
      <c r="AB104" s="228">
        <v>4</v>
      </c>
      <c r="AC104" s="228">
        <v>4</v>
      </c>
      <c r="AD104" s="240">
        <v>5</v>
      </c>
      <c r="AE104" s="343" t="str">
        <f t="shared" ref="AE104:AE112" si="57">IF(AD104=0," ",IF(AH104&gt;20,(AD104-AC104)/AC104," "))</f>
        <v xml:space="preserve"> </v>
      </c>
      <c r="AF104" s="344" t="str">
        <f t="shared" ref="AF104:AF112" si="58">IF(AD104=0," ",IF(AH104&gt;20,(AD104-Y104)/Y104," "))</f>
        <v xml:space="preserve"> </v>
      </c>
      <c r="AG104" s="345" t="str">
        <f t="shared" ref="AG104:AG112" si="59">IF(AD104=0," ",(IF(AH104&gt;20,(AD104-T104)/T104," ")))</f>
        <v xml:space="preserve"> </v>
      </c>
      <c r="AH104" s="211">
        <f t="shared" ref="AH104:AH112" si="60">IF(AB104&gt;0,AVERAGE(AB104:AD104),"  ")</f>
        <v>4.333333333333333</v>
      </c>
    </row>
    <row r="105" spans="1:175" ht="15" customHeight="1" x14ac:dyDescent="0.2">
      <c r="A105" s="1" t="s">
        <v>145</v>
      </c>
      <c r="B105" s="133">
        <v>80</v>
      </c>
      <c r="C105" s="209">
        <v>87</v>
      </c>
      <c r="D105" s="133">
        <v>88</v>
      </c>
      <c r="E105" s="133">
        <v>89</v>
      </c>
      <c r="F105" s="133">
        <v>74</v>
      </c>
      <c r="G105" s="133">
        <v>61</v>
      </c>
      <c r="H105" s="22">
        <v>51</v>
      </c>
      <c r="I105" s="22">
        <v>49</v>
      </c>
      <c r="J105" s="134">
        <v>70</v>
      </c>
      <c r="K105" s="133">
        <v>52</v>
      </c>
      <c r="L105" s="133">
        <v>51</v>
      </c>
      <c r="M105" s="133">
        <v>48</v>
      </c>
      <c r="N105" s="22">
        <v>38</v>
      </c>
      <c r="O105" s="386">
        <v>47</v>
      </c>
      <c r="P105" s="386">
        <v>46</v>
      </c>
      <c r="Q105" s="454">
        <v>35</v>
      </c>
      <c r="R105" s="454">
        <v>26</v>
      </c>
      <c r="S105" s="504">
        <v>36</v>
      </c>
      <c r="T105" s="454">
        <v>33</v>
      </c>
      <c r="U105" s="397">
        <v>32</v>
      </c>
      <c r="V105" s="134">
        <v>38</v>
      </c>
      <c r="W105" s="134">
        <v>28</v>
      </c>
      <c r="X105" s="22">
        <v>27</v>
      </c>
      <c r="Y105" s="22">
        <v>36</v>
      </c>
      <c r="Z105" s="134">
        <v>27</v>
      </c>
      <c r="AA105" s="134">
        <v>29</v>
      </c>
      <c r="AB105" s="134">
        <v>25</v>
      </c>
      <c r="AC105" s="134">
        <v>20</v>
      </c>
      <c r="AD105" s="135">
        <v>18</v>
      </c>
      <c r="AE105" s="343">
        <f t="shared" si="57"/>
        <v>-0.1</v>
      </c>
      <c r="AF105" s="344">
        <f t="shared" si="58"/>
        <v>-0.5</v>
      </c>
      <c r="AG105" s="345">
        <f t="shared" si="59"/>
        <v>-0.45454545454545453</v>
      </c>
      <c r="AH105" s="211">
        <f t="shared" si="60"/>
        <v>21</v>
      </c>
    </row>
    <row r="106" spans="1:175" ht="15" customHeight="1" x14ac:dyDescent="0.2">
      <c r="A106" s="26" t="s">
        <v>35</v>
      </c>
      <c r="B106" s="230"/>
      <c r="C106" s="133"/>
      <c r="D106" s="230"/>
      <c r="E106" s="230"/>
      <c r="F106" s="230"/>
      <c r="G106" s="206"/>
      <c r="H106" s="22"/>
      <c r="I106" s="22"/>
      <c r="J106" s="206"/>
      <c r="K106" s="206">
        <v>1</v>
      </c>
      <c r="L106" s="206">
        <v>0</v>
      </c>
      <c r="M106" s="206">
        <v>3</v>
      </c>
      <c r="N106" s="22">
        <v>7</v>
      </c>
      <c r="O106" s="387">
        <v>9</v>
      </c>
      <c r="P106" s="387">
        <v>5</v>
      </c>
      <c r="Q106" s="478">
        <v>12</v>
      </c>
      <c r="R106" s="478">
        <v>7</v>
      </c>
      <c r="S106" s="505">
        <v>11</v>
      </c>
      <c r="T106" s="478">
        <v>12</v>
      </c>
      <c r="U106" s="502">
        <v>7</v>
      </c>
      <c r="V106" s="28">
        <v>4</v>
      </c>
      <c r="W106" s="28">
        <v>3</v>
      </c>
      <c r="X106" s="27">
        <v>8</v>
      </c>
      <c r="Y106" s="27">
        <v>8</v>
      </c>
      <c r="Z106" s="28">
        <v>4</v>
      </c>
      <c r="AA106" s="28">
        <v>7</v>
      </c>
      <c r="AB106" s="28">
        <v>6</v>
      </c>
      <c r="AC106" s="28">
        <v>5</v>
      </c>
      <c r="AD106" s="368">
        <v>4</v>
      </c>
      <c r="AE106" s="346" t="str">
        <f t="shared" si="57"/>
        <v xml:space="preserve"> </v>
      </c>
      <c r="AF106" s="347" t="str">
        <f t="shared" si="58"/>
        <v xml:space="preserve"> </v>
      </c>
      <c r="AG106" s="348" t="str">
        <f t="shared" si="59"/>
        <v xml:space="preserve"> </v>
      </c>
      <c r="AH106" s="364">
        <f t="shared" si="60"/>
        <v>5</v>
      </c>
    </row>
    <row r="107" spans="1:175" ht="15" customHeight="1" x14ac:dyDescent="0.2">
      <c r="A107" s="3" t="s">
        <v>111</v>
      </c>
      <c r="B107" s="230"/>
      <c r="C107" s="230"/>
      <c r="D107" s="230"/>
      <c r="E107" s="230">
        <v>6</v>
      </c>
      <c r="F107" s="230">
        <v>21</v>
      </c>
      <c r="G107" s="206">
        <v>9</v>
      </c>
      <c r="H107" s="22">
        <v>11</v>
      </c>
      <c r="I107" s="22">
        <v>13</v>
      </c>
      <c r="J107" s="206">
        <v>13</v>
      </c>
      <c r="K107" s="206">
        <v>15</v>
      </c>
      <c r="L107" s="206">
        <v>11</v>
      </c>
      <c r="M107" s="206">
        <v>15</v>
      </c>
      <c r="N107" s="22">
        <v>2</v>
      </c>
      <c r="O107" s="386">
        <v>12</v>
      </c>
      <c r="P107" s="386">
        <v>12</v>
      </c>
      <c r="Q107" s="476">
        <v>13</v>
      </c>
      <c r="R107" s="476">
        <v>12</v>
      </c>
      <c r="S107" s="504">
        <v>13</v>
      </c>
      <c r="T107" s="476">
        <v>17</v>
      </c>
      <c r="U107" s="501">
        <v>9</v>
      </c>
      <c r="V107" s="21">
        <v>14</v>
      </c>
      <c r="W107" s="21">
        <v>6</v>
      </c>
      <c r="X107" s="22">
        <v>7</v>
      </c>
      <c r="Y107" s="22">
        <v>6</v>
      </c>
      <c r="Z107" s="21">
        <v>5</v>
      </c>
      <c r="AA107" s="21">
        <v>4</v>
      </c>
      <c r="AB107" s="21">
        <v>4</v>
      </c>
      <c r="AC107" s="21">
        <v>1</v>
      </c>
      <c r="AD107" s="231">
        <v>6</v>
      </c>
      <c r="AE107" s="340" t="str">
        <f t="shared" si="57"/>
        <v xml:space="preserve"> </v>
      </c>
      <c r="AF107" s="341" t="str">
        <f t="shared" si="58"/>
        <v xml:space="preserve"> </v>
      </c>
      <c r="AG107" s="342" t="str">
        <f t="shared" si="59"/>
        <v xml:space="preserve"> </v>
      </c>
      <c r="AH107" s="363">
        <f t="shared" si="60"/>
        <v>3.6666666666666665</v>
      </c>
    </row>
    <row r="108" spans="1:175" ht="15" customHeight="1" x14ac:dyDescent="0.2">
      <c r="A108" s="3" t="s">
        <v>128</v>
      </c>
      <c r="B108" s="206"/>
      <c r="C108" s="256">
        <v>0</v>
      </c>
      <c r="D108" s="206">
        <v>8</v>
      </c>
      <c r="E108" s="206">
        <v>11</v>
      </c>
      <c r="F108" s="206">
        <v>12</v>
      </c>
      <c r="G108" s="206">
        <v>9</v>
      </c>
      <c r="H108" s="22">
        <v>8</v>
      </c>
      <c r="I108" s="22">
        <v>15</v>
      </c>
      <c r="J108" s="206">
        <v>11</v>
      </c>
      <c r="K108" s="206">
        <v>16</v>
      </c>
      <c r="L108" s="206">
        <v>9</v>
      </c>
      <c r="M108" s="206">
        <v>6</v>
      </c>
      <c r="N108" s="22">
        <v>12</v>
      </c>
      <c r="O108" s="386">
        <v>14</v>
      </c>
      <c r="P108" s="386">
        <v>7</v>
      </c>
      <c r="Q108" s="476">
        <v>6</v>
      </c>
      <c r="R108" s="476">
        <v>11</v>
      </c>
      <c r="S108" s="504">
        <v>11</v>
      </c>
      <c r="T108" s="476">
        <v>21</v>
      </c>
      <c r="U108" s="501">
        <v>14</v>
      </c>
      <c r="V108" s="21">
        <v>14</v>
      </c>
      <c r="W108" s="21">
        <v>10</v>
      </c>
      <c r="X108" s="22">
        <v>13</v>
      </c>
      <c r="Y108" s="22">
        <v>11</v>
      </c>
      <c r="Z108" s="21">
        <v>8</v>
      </c>
      <c r="AA108" s="21">
        <v>13</v>
      </c>
      <c r="AB108" s="21">
        <v>17</v>
      </c>
      <c r="AC108" s="21">
        <v>5</v>
      </c>
      <c r="AD108" s="231">
        <v>7</v>
      </c>
      <c r="AE108" s="343" t="str">
        <f t="shared" si="57"/>
        <v xml:space="preserve"> </v>
      </c>
      <c r="AF108" s="344" t="str">
        <f t="shared" si="58"/>
        <v xml:space="preserve"> </v>
      </c>
      <c r="AG108" s="345" t="str">
        <f t="shared" si="59"/>
        <v xml:space="preserve"> </v>
      </c>
      <c r="AH108" s="211">
        <f t="shared" si="60"/>
        <v>9.6666666666666661</v>
      </c>
    </row>
    <row r="109" spans="1:175" ht="15" customHeight="1" x14ac:dyDescent="0.2">
      <c r="A109" s="3" t="s">
        <v>129</v>
      </c>
      <c r="B109" s="206"/>
      <c r="C109" s="256"/>
      <c r="D109" s="206"/>
      <c r="E109" s="206"/>
      <c r="F109" s="206"/>
      <c r="G109" s="206"/>
      <c r="H109" s="22"/>
      <c r="I109" s="22"/>
      <c r="J109" s="206"/>
      <c r="K109" s="206"/>
      <c r="L109" s="206"/>
      <c r="M109" s="206"/>
      <c r="N109" s="22"/>
      <c r="O109" s="386"/>
      <c r="P109" s="386"/>
      <c r="Q109" s="476"/>
      <c r="R109" s="476">
        <v>0</v>
      </c>
      <c r="S109" s="504">
        <v>0</v>
      </c>
      <c r="T109" s="476"/>
      <c r="U109" s="501"/>
      <c r="V109" s="21"/>
      <c r="W109" s="21"/>
      <c r="X109" s="22">
        <v>0</v>
      </c>
      <c r="Y109" s="22">
        <v>0</v>
      </c>
      <c r="Z109" s="21">
        <v>1</v>
      </c>
      <c r="AA109" s="21">
        <v>2</v>
      </c>
      <c r="AB109" s="21">
        <v>12</v>
      </c>
      <c r="AC109" s="21">
        <v>4</v>
      </c>
      <c r="AD109" s="231">
        <v>3</v>
      </c>
      <c r="AE109" s="343" t="str">
        <f t="shared" si="57"/>
        <v xml:space="preserve"> </v>
      </c>
      <c r="AF109" s="344" t="str">
        <f t="shared" si="58"/>
        <v xml:space="preserve"> </v>
      </c>
      <c r="AG109" s="345" t="str">
        <f t="shared" si="59"/>
        <v xml:space="preserve"> </v>
      </c>
      <c r="AH109" s="211">
        <f t="shared" si="60"/>
        <v>6.333333333333333</v>
      </c>
    </row>
    <row r="110" spans="1:175" ht="15" customHeight="1" x14ac:dyDescent="0.2">
      <c r="A110" s="3" t="s">
        <v>144</v>
      </c>
      <c r="B110" s="206"/>
      <c r="C110" s="256"/>
      <c r="D110" s="206"/>
      <c r="E110" s="206"/>
      <c r="F110" s="206"/>
      <c r="G110" s="206"/>
      <c r="H110" s="22"/>
      <c r="I110" s="22"/>
      <c r="J110" s="206"/>
      <c r="K110" s="206"/>
      <c r="L110" s="206"/>
      <c r="M110" s="206"/>
      <c r="N110" s="22"/>
      <c r="O110" s="386"/>
      <c r="P110" s="386"/>
      <c r="Q110" s="476"/>
      <c r="R110" s="476">
        <v>0</v>
      </c>
      <c r="S110" s="504">
        <v>0</v>
      </c>
      <c r="T110" s="476"/>
      <c r="U110" s="501"/>
      <c r="V110" s="21"/>
      <c r="W110" s="21"/>
      <c r="X110" s="22">
        <v>0</v>
      </c>
      <c r="Y110" s="22">
        <v>0</v>
      </c>
      <c r="Z110" s="21">
        <v>0</v>
      </c>
      <c r="AA110" s="21">
        <v>0</v>
      </c>
      <c r="AB110" s="21">
        <v>0</v>
      </c>
      <c r="AC110" s="21">
        <v>1</v>
      </c>
      <c r="AD110" s="231">
        <v>0</v>
      </c>
      <c r="AE110" s="343" t="str">
        <f t="shared" si="57"/>
        <v xml:space="preserve"> </v>
      </c>
      <c r="AF110" s="344" t="str">
        <f t="shared" si="58"/>
        <v xml:space="preserve"> </v>
      </c>
      <c r="AG110" s="345" t="str">
        <f t="shared" si="59"/>
        <v xml:space="preserve"> </v>
      </c>
      <c r="AH110" s="211" t="str">
        <f t="shared" si="60"/>
        <v xml:space="preserve">  </v>
      </c>
    </row>
    <row r="111" spans="1:175" ht="15" customHeight="1" x14ac:dyDescent="0.2">
      <c r="A111" s="3" t="s">
        <v>147</v>
      </c>
      <c r="B111" s="206"/>
      <c r="C111" s="256"/>
      <c r="D111" s="206"/>
      <c r="E111" s="206"/>
      <c r="F111" s="206"/>
      <c r="G111" s="206"/>
      <c r="H111" s="22"/>
      <c r="I111" s="22"/>
      <c r="J111" s="206"/>
      <c r="K111" s="206"/>
      <c r="L111" s="206"/>
      <c r="M111" s="206"/>
      <c r="N111" s="22"/>
      <c r="O111" s="386"/>
      <c r="P111" s="386"/>
      <c r="Q111" s="476"/>
      <c r="R111" s="476">
        <v>0</v>
      </c>
      <c r="S111" s="504">
        <v>0</v>
      </c>
      <c r="T111" s="476"/>
      <c r="U111" s="501"/>
      <c r="V111" s="21"/>
      <c r="W111" s="21"/>
      <c r="X111" s="22">
        <v>0</v>
      </c>
      <c r="Y111" s="22">
        <v>0</v>
      </c>
      <c r="Z111" s="21">
        <v>0</v>
      </c>
      <c r="AA111" s="21">
        <v>0</v>
      </c>
      <c r="AB111" s="21">
        <v>0</v>
      </c>
      <c r="AC111" s="21">
        <v>1</v>
      </c>
      <c r="AD111" s="231">
        <v>0</v>
      </c>
      <c r="AE111" s="343" t="str">
        <f t="shared" si="57"/>
        <v xml:space="preserve"> </v>
      </c>
      <c r="AF111" s="344" t="str">
        <f t="shared" si="58"/>
        <v xml:space="preserve"> </v>
      </c>
      <c r="AG111" s="345" t="str">
        <f t="shared" si="59"/>
        <v xml:space="preserve"> </v>
      </c>
      <c r="AH111" s="211" t="str">
        <f t="shared" si="60"/>
        <v xml:space="preserve">  </v>
      </c>
    </row>
    <row r="112" spans="1:175" ht="12.75" thickBot="1" x14ac:dyDescent="0.25">
      <c r="A112" s="257" t="s">
        <v>94</v>
      </c>
      <c r="B112" s="258">
        <f>SUM(B104:B111)</f>
        <v>80</v>
      </c>
      <c r="C112" s="258">
        <f t="shared" ref="C112:AD112" si="61">SUM(C104:C111)</f>
        <v>87</v>
      </c>
      <c r="D112" s="258">
        <f t="shared" si="61"/>
        <v>96</v>
      </c>
      <c r="E112" s="258">
        <f t="shared" si="61"/>
        <v>106</v>
      </c>
      <c r="F112" s="258">
        <f t="shared" si="61"/>
        <v>107</v>
      </c>
      <c r="G112" s="258">
        <f t="shared" si="61"/>
        <v>79</v>
      </c>
      <c r="H112" s="258">
        <f t="shared" si="61"/>
        <v>70</v>
      </c>
      <c r="I112" s="258">
        <f t="shared" si="61"/>
        <v>77</v>
      </c>
      <c r="J112" s="258">
        <f t="shared" si="61"/>
        <v>94</v>
      </c>
      <c r="K112" s="258">
        <f t="shared" si="61"/>
        <v>84</v>
      </c>
      <c r="L112" s="258">
        <f t="shared" si="61"/>
        <v>71</v>
      </c>
      <c r="M112" s="258">
        <f t="shared" si="61"/>
        <v>72</v>
      </c>
      <c r="N112" s="258">
        <f t="shared" si="61"/>
        <v>59</v>
      </c>
      <c r="O112" s="258">
        <f t="shared" si="61"/>
        <v>82</v>
      </c>
      <c r="P112" s="419">
        <f t="shared" si="61"/>
        <v>70</v>
      </c>
      <c r="Q112" s="479">
        <f t="shared" si="61"/>
        <v>66</v>
      </c>
      <c r="R112" s="479">
        <f t="shared" si="61"/>
        <v>56</v>
      </c>
      <c r="S112" s="479">
        <f t="shared" si="61"/>
        <v>71</v>
      </c>
      <c r="T112" s="479">
        <f t="shared" si="61"/>
        <v>83</v>
      </c>
      <c r="U112" s="298">
        <f t="shared" si="61"/>
        <v>62</v>
      </c>
      <c r="V112" s="258">
        <f t="shared" si="61"/>
        <v>70</v>
      </c>
      <c r="W112" s="258">
        <f t="shared" si="61"/>
        <v>47</v>
      </c>
      <c r="X112" s="258">
        <f t="shared" si="61"/>
        <v>55</v>
      </c>
      <c r="Y112" s="258">
        <f t="shared" si="61"/>
        <v>67</v>
      </c>
      <c r="Z112" s="258">
        <f t="shared" si="61"/>
        <v>45</v>
      </c>
      <c r="AA112" s="258">
        <f t="shared" si="61"/>
        <v>61</v>
      </c>
      <c r="AB112" s="258">
        <f t="shared" si="61"/>
        <v>68</v>
      </c>
      <c r="AC112" s="258">
        <f t="shared" si="61"/>
        <v>41</v>
      </c>
      <c r="AD112" s="258">
        <f t="shared" si="61"/>
        <v>43</v>
      </c>
      <c r="AE112" s="335">
        <f t="shared" si="57"/>
        <v>4.878048780487805E-2</v>
      </c>
      <c r="AF112" s="335">
        <f t="shared" si="58"/>
        <v>-0.35820895522388058</v>
      </c>
      <c r="AG112" s="335">
        <f t="shared" si="59"/>
        <v>-0.48192771084337349</v>
      </c>
      <c r="AH112" s="258">
        <f t="shared" si="60"/>
        <v>50.666666666666664</v>
      </c>
    </row>
    <row r="113" spans="1:40" ht="12.75" thickTop="1" x14ac:dyDescent="0.2">
      <c r="A113" s="371" t="s">
        <v>114</v>
      </c>
      <c r="B113" s="241"/>
      <c r="C113" s="241"/>
      <c r="D113" s="242"/>
      <c r="E113" s="242"/>
      <c r="F113" s="241"/>
      <c r="G113" s="241"/>
      <c r="H113" s="243"/>
      <c r="I113" s="243"/>
      <c r="J113" s="243"/>
      <c r="K113" s="243"/>
      <c r="L113" s="244"/>
      <c r="M113" s="243"/>
      <c r="N113" s="243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6"/>
      <c r="AA113" s="246"/>
      <c r="AB113" s="246"/>
      <c r="AC113" s="246"/>
      <c r="AD113" s="246"/>
      <c r="AE113" s="246"/>
      <c r="AF113" s="247"/>
      <c r="AG113" s="246"/>
      <c r="AH113" s="374"/>
    </row>
    <row r="114" spans="1:40" ht="12" x14ac:dyDescent="0.2">
      <c r="A114" s="248" t="s">
        <v>61</v>
      </c>
      <c r="B114" s="249">
        <f t="shared" ref="B114:R114" si="62">+B85+B93</f>
        <v>0</v>
      </c>
      <c r="C114" s="249">
        <f t="shared" si="62"/>
        <v>0</v>
      </c>
      <c r="D114" s="249">
        <f t="shared" si="62"/>
        <v>0</v>
      </c>
      <c r="E114" s="249">
        <f t="shared" si="62"/>
        <v>0</v>
      </c>
      <c r="F114" s="249">
        <f t="shared" si="62"/>
        <v>0</v>
      </c>
      <c r="G114" s="249">
        <f t="shared" si="62"/>
        <v>0</v>
      </c>
      <c r="H114" s="249">
        <f t="shared" si="62"/>
        <v>0</v>
      </c>
      <c r="I114" s="249">
        <f t="shared" si="62"/>
        <v>0</v>
      </c>
      <c r="J114" s="249">
        <f t="shared" si="62"/>
        <v>0</v>
      </c>
      <c r="K114" s="249">
        <f t="shared" si="62"/>
        <v>0</v>
      </c>
      <c r="L114" s="249">
        <f t="shared" si="62"/>
        <v>0</v>
      </c>
      <c r="M114" s="249">
        <f t="shared" si="62"/>
        <v>0</v>
      </c>
      <c r="N114" s="249">
        <f t="shared" si="62"/>
        <v>0</v>
      </c>
      <c r="O114" s="420">
        <f t="shared" si="62"/>
        <v>0</v>
      </c>
      <c r="P114" s="420">
        <f t="shared" si="62"/>
        <v>8</v>
      </c>
      <c r="Q114" s="480">
        <f t="shared" si="62"/>
        <v>7</v>
      </c>
      <c r="R114" s="480">
        <f t="shared" si="62"/>
        <v>8</v>
      </c>
      <c r="S114" s="480">
        <f t="shared" ref="S114:AB114" si="63">+S85+S93+S111</f>
        <v>8</v>
      </c>
      <c r="T114" s="480">
        <f t="shared" si="63"/>
        <v>16</v>
      </c>
      <c r="U114" s="299">
        <f t="shared" si="63"/>
        <v>13</v>
      </c>
      <c r="V114" s="249">
        <f t="shared" si="63"/>
        <v>8</v>
      </c>
      <c r="W114" s="249">
        <f t="shared" si="63"/>
        <v>1</v>
      </c>
      <c r="X114" s="249">
        <f t="shared" si="63"/>
        <v>5</v>
      </c>
      <c r="Y114" s="249">
        <f>+Y85+Y93+Y111</f>
        <v>21</v>
      </c>
      <c r="Z114" s="249">
        <f t="shared" si="63"/>
        <v>10</v>
      </c>
      <c r="AA114" s="249">
        <f t="shared" si="63"/>
        <v>10</v>
      </c>
      <c r="AB114" s="249">
        <f t="shared" si="63"/>
        <v>3</v>
      </c>
      <c r="AC114" s="249">
        <f>+AC110+AC93+AC85</f>
        <v>12</v>
      </c>
      <c r="AD114" s="263">
        <f>+AD110+AD93+AD85</f>
        <v>0</v>
      </c>
      <c r="AE114" s="251" t="str">
        <f t="shared" ref="AE114:AE118" si="64">IF(AD114=0," ",IF(AH114&gt;20,(AD114-AC114)/AC114," "))</f>
        <v xml:space="preserve"> </v>
      </c>
      <c r="AF114" s="338" t="str">
        <f t="shared" ref="AF114:AF118" si="65">IF(AD114=0," ",IF(AH114&gt;20,(AD114-Y114)/Y114," "))</f>
        <v xml:space="preserve"> </v>
      </c>
      <c r="AG114" s="251" t="str">
        <f t="shared" ref="AG114:AG118" si="66">IF(AD114=0," ",(IF(AH114&gt;20,(AD114-T114)/T114," ")))</f>
        <v xml:space="preserve"> </v>
      </c>
      <c r="AH114" s="366">
        <f t="shared" ref="AH114:AH118" si="67">IF(AB114&gt;0,AVERAGE(AB114:AD114),"  ")</f>
        <v>5</v>
      </c>
    </row>
    <row r="115" spans="1:40" ht="12" x14ac:dyDescent="0.2">
      <c r="A115" s="248" t="s">
        <v>34</v>
      </c>
      <c r="B115" s="250">
        <f t="shared" ref="B115:Z115" si="68">+B81+B82+B86+B92+B94+B95+B98+B99+B100+B105+B106+B107+B108+B102+B89</f>
        <v>138</v>
      </c>
      <c r="C115" s="250">
        <f t="shared" si="68"/>
        <v>137</v>
      </c>
      <c r="D115" s="250">
        <f t="shared" si="68"/>
        <v>158</v>
      </c>
      <c r="E115" s="250">
        <f t="shared" si="68"/>
        <v>163</v>
      </c>
      <c r="F115" s="250">
        <f t="shared" si="68"/>
        <v>178</v>
      </c>
      <c r="G115" s="250">
        <f t="shared" si="68"/>
        <v>142</v>
      </c>
      <c r="H115" s="250">
        <f t="shared" si="68"/>
        <v>136</v>
      </c>
      <c r="I115" s="250">
        <f t="shared" si="68"/>
        <v>155</v>
      </c>
      <c r="J115" s="250">
        <f t="shared" si="68"/>
        <v>194</v>
      </c>
      <c r="K115" s="250">
        <f t="shared" si="68"/>
        <v>207</v>
      </c>
      <c r="L115" s="250">
        <f t="shared" si="68"/>
        <v>190</v>
      </c>
      <c r="M115" s="250">
        <f t="shared" si="68"/>
        <v>209</v>
      </c>
      <c r="N115" s="250">
        <f t="shared" si="68"/>
        <v>170</v>
      </c>
      <c r="O115" s="421">
        <f t="shared" si="68"/>
        <v>222</v>
      </c>
      <c r="P115" s="421">
        <f t="shared" si="68"/>
        <v>209</v>
      </c>
      <c r="Q115" s="481">
        <f t="shared" si="68"/>
        <v>213</v>
      </c>
      <c r="R115" s="481">
        <f t="shared" si="68"/>
        <v>225</v>
      </c>
      <c r="S115" s="481">
        <f t="shared" si="68"/>
        <v>245</v>
      </c>
      <c r="T115" s="481">
        <f t="shared" si="68"/>
        <v>281</v>
      </c>
      <c r="U115" s="300">
        <f t="shared" si="68"/>
        <v>258</v>
      </c>
      <c r="V115" s="250">
        <f t="shared" si="68"/>
        <v>262</v>
      </c>
      <c r="W115" s="250">
        <f t="shared" si="68"/>
        <v>271</v>
      </c>
      <c r="X115" s="250">
        <f t="shared" si="68"/>
        <v>308</v>
      </c>
      <c r="Y115" s="250">
        <f t="shared" si="68"/>
        <v>323</v>
      </c>
      <c r="Z115" s="250">
        <f t="shared" si="68"/>
        <v>323</v>
      </c>
      <c r="AA115" s="250">
        <f>+AA81+AA82+AA86+AA92+AA94+AA95+AA98+AA99+AA100+AA105+AA106+AA107+AA108+AA102+AA89</f>
        <v>324</v>
      </c>
      <c r="AB115" s="250">
        <f>+AB81+AB82+AB86+AB92+AB94+AB95+AB98+AB99+AB100+AB105+AB106+AB107+AB108+AB102+AB89</f>
        <v>349</v>
      </c>
      <c r="AC115" s="250">
        <f>+AC81+AC82+AC86+AC92+AC94+AC95+AC98+AC99+AC100+AC105+AC106+AC107+AC108+AC102+AC89</f>
        <v>331</v>
      </c>
      <c r="AD115" s="264">
        <f>+AD81+AD82+AD86+AD92+AD94+AD95+AD98+AD99+AD100+AD105+AD106+AD107+AD108+AD102+AD89</f>
        <v>287</v>
      </c>
      <c r="AE115" s="252">
        <f t="shared" si="64"/>
        <v>-0.13293051359516617</v>
      </c>
      <c r="AF115" s="339">
        <f t="shared" si="65"/>
        <v>-0.11145510835913312</v>
      </c>
      <c r="AG115" s="252">
        <f t="shared" si="66"/>
        <v>2.1352313167259787E-2</v>
      </c>
      <c r="AH115" s="367">
        <f t="shared" si="67"/>
        <v>322.33333333333331</v>
      </c>
    </row>
    <row r="116" spans="1:40" ht="12" x14ac:dyDescent="0.2">
      <c r="A116" s="248" t="s">
        <v>112</v>
      </c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421"/>
      <c r="P116" s="421"/>
      <c r="Q116" s="481"/>
      <c r="R116" s="481">
        <v>0</v>
      </c>
      <c r="S116" s="481">
        <f t="shared" ref="S116:AB116" si="69">+S111+S109</f>
        <v>0</v>
      </c>
      <c r="T116" s="481">
        <f t="shared" si="69"/>
        <v>0</v>
      </c>
      <c r="U116" s="300">
        <f t="shared" si="69"/>
        <v>0</v>
      </c>
      <c r="V116" s="250">
        <f t="shared" si="69"/>
        <v>0</v>
      </c>
      <c r="W116" s="250">
        <f t="shared" si="69"/>
        <v>0</v>
      </c>
      <c r="X116" s="250">
        <f t="shared" si="69"/>
        <v>0</v>
      </c>
      <c r="Y116" s="250">
        <f t="shared" si="69"/>
        <v>0</v>
      </c>
      <c r="Z116" s="250">
        <f t="shared" si="69"/>
        <v>1</v>
      </c>
      <c r="AA116" s="250">
        <f t="shared" si="69"/>
        <v>2</v>
      </c>
      <c r="AB116" s="250">
        <f t="shared" si="69"/>
        <v>12</v>
      </c>
      <c r="AC116" s="250">
        <f>+AC111+AC109</f>
        <v>5</v>
      </c>
      <c r="AD116" s="264">
        <f>+AD111+AD109</f>
        <v>3</v>
      </c>
      <c r="AE116" s="252" t="str">
        <f t="shared" si="64"/>
        <v xml:space="preserve"> </v>
      </c>
      <c r="AF116" s="339" t="str">
        <f t="shared" si="65"/>
        <v xml:space="preserve"> </v>
      </c>
      <c r="AG116" s="252" t="str">
        <f t="shared" si="66"/>
        <v xml:space="preserve"> </v>
      </c>
      <c r="AH116" s="367">
        <f t="shared" si="67"/>
        <v>6.666666666666667</v>
      </c>
    </row>
    <row r="117" spans="1:40" ht="12" customHeight="1" x14ac:dyDescent="0.2">
      <c r="A117" s="248" t="s">
        <v>113</v>
      </c>
      <c r="B117" s="250">
        <f t="shared" ref="B117:AB117" si="70">+B87+B104</f>
        <v>0</v>
      </c>
      <c r="C117" s="250">
        <f t="shared" si="70"/>
        <v>0</v>
      </c>
      <c r="D117" s="250">
        <f t="shared" si="70"/>
        <v>0</v>
      </c>
      <c r="E117" s="250">
        <f t="shared" si="70"/>
        <v>0</v>
      </c>
      <c r="F117" s="250">
        <f t="shared" si="70"/>
        <v>0</v>
      </c>
      <c r="G117" s="250">
        <f t="shared" si="70"/>
        <v>0</v>
      </c>
      <c r="H117" s="250">
        <f t="shared" si="70"/>
        <v>0</v>
      </c>
      <c r="I117" s="250">
        <f t="shared" si="70"/>
        <v>0</v>
      </c>
      <c r="J117" s="250">
        <f t="shared" si="70"/>
        <v>0</v>
      </c>
      <c r="K117" s="250">
        <f t="shared" si="70"/>
        <v>0</v>
      </c>
      <c r="L117" s="250">
        <f t="shared" si="70"/>
        <v>0</v>
      </c>
      <c r="M117" s="250">
        <f t="shared" si="70"/>
        <v>0</v>
      </c>
      <c r="N117" s="250">
        <f t="shared" si="70"/>
        <v>0</v>
      </c>
      <c r="O117" s="421">
        <f t="shared" si="70"/>
        <v>0</v>
      </c>
      <c r="P117" s="421">
        <f t="shared" si="70"/>
        <v>0</v>
      </c>
      <c r="Q117" s="481">
        <f t="shared" si="70"/>
        <v>0</v>
      </c>
      <c r="R117" s="481">
        <f t="shared" si="70"/>
        <v>0</v>
      </c>
      <c r="S117" s="481">
        <f t="shared" si="70"/>
        <v>0</v>
      </c>
      <c r="T117" s="481">
        <f t="shared" si="70"/>
        <v>0</v>
      </c>
      <c r="U117" s="300">
        <f t="shared" si="70"/>
        <v>0</v>
      </c>
      <c r="V117" s="250">
        <f t="shared" si="70"/>
        <v>8</v>
      </c>
      <c r="W117" s="250">
        <f t="shared" si="70"/>
        <v>0</v>
      </c>
      <c r="X117" s="250">
        <f t="shared" si="70"/>
        <v>1</v>
      </c>
      <c r="Y117" s="250">
        <f t="shared" si="70"/>
        <v>13</v>
      </c>
      <c r="Z117" s="250">
        <f t="shared" si="70"/>
        <v>7</v>
      </c>
      <c r="AA117" s="250">
        <f t="shared" si="70"/>
        <v>15</v>
      </c>
      <c r="AB117" s="250">
        <f t="shared" si="70"/>
        <v>9</v>
      </c>
      <c r="AC117" s="250">
        <f>+AC87+AC104</f>
        <v>18</v>
      </c>
      <c r="AD117" s="264">
        <f>+AD87+AD104</f>
        <v>13</v>
      </c>
      <c r="AE117" s="252" t="str">
        <f t="shared" si="64"/>
        <v xml:space="preserve"> </v>
      </c>
      <c r="AF117" s="339" t="str">
        <f t="shared" si="65"/>
        <v xml:space="preserve"> </v>
      </c>
      <c r="AG117" s="252" t="str">
        <f t="shared" si="66"/>
        <v xml:space="preserve"> </v>
      </c>
      <c r="AH117" s="367">
        <f t="shared" si="67"/>
        <v>13.333333333333334</v>
      </c>
    </row>
    <row r="118" spans="1:40" ht="13.5" thickBot="1" x14ac:dyDescent="0.25">
      <c r="A118" s="196" t="s">
        <v>115</v>
      </c>
      <c r="B118" s="265">
        <f t="shared" ref="B118:AD118" si="71">+B117+B116+B114+B115</f>
        <v>138</v>
      </c>
      <c r="C118" s="265">
        <f t="shared" si="71"/>
        <v>137</v>
      </c>
      <c r="D118" s="265">
        <f t="shared" si="71"/>
        <v>158</v>
      </c>
      <c r="E118" s="265">
        <f t="shared" si="71"/>
        <v>163</v>
      </c>
      <c r="F118" s="265">
        <f t="shared" si="71"/>
        <v>178</v>
      </c>
      <c r="G118" s="265">
        <f t="shared" si="71"/>
        <v>142</v>
      </c>
      <c r="H118" s="265">
        <f t="shared" si="71"/>
        <v>136</v>
      </c>
      <c r="I118" s="265">
        <f t="shared" si="71"/>
        <v>155</v>
      </c>
      <c r="J118" s="265">
        <f t="shared" si="71"/>
        <v>194</v>
      </c>
      <c r="K118" s="265">
        <f t="shared" si="71"/>
        <v>207</v>
      </c>
      <c r="L118" s="265">
        <f t="shared" si="71"/>
        <v>190</v>
      </c>
      <c r="M118" s="265">
        <f t="shared" si="71"/>
        <v>209</v>
      </c>
      <c r="N118" s="265">
        <f t="shared" si="71"/>
        <v>170</v>
      </c>
      <c r="O118" s="406">
        <f t="shared" si="71"/>
        <v>222</v>
      </c>
      <c r="P118" s="406">
        <f t="shared" si="71"/>
        <v>217</v>
      </c>
      <c r="Q118" s="467">
        <f t="shared" si="71"/>
        <v>220</v>
      </c>
      <c r="R118" s="467">
        <f t="shared" si="71"/>
        <v>233</v>
      </c>
      <c r="S118" s="467">
        <f t="shared" si="71"/>
        <v>253</v>
      </c>
      <c r="T118" s="467">
        <f t="shared" si="71"/>
        <v>297</v>
      </c>
      <c r="U118" s="291">
        <f t="shared" si="71"/>
        <v>271</v>
      </c>
      <c r="V118" s="60">
        <f t="shared" si="71"/>
        <v>278</v>
      </c>
      <c r="W118" s="60">
        <f t="shared" si="71"/>
        <v>272</v>
      </c>
      <c r="X118" s="60">
        <f t="shared" si="71"/>
        <v>314</v>
      </c>
      <c r="Y118" s="60">
        <f t="shared" si="71"/>
        <v>357</v>
      </c>
      <c r="Z118" s="60">
        <f t="shared" si="71"/>
        <v>341</v>
      </c>
      <c r="AA118" s="60">
        <f t="shared" si="71"/>
        <v>351</v>
      </c>
      <c r="AB118" s="60">
        <f t="shared" si="71"/>
        <v>373</v>
      </c>
      <c r="AC118" s="60">
        <f t="shared" si="71"/>
        <v>366</v>
      </c>
      <c r="AD118" s="265">
        <f t="shared" si="71"/>
        <v>303</v>
      </c>
      <c r="AE118" s="336">
        <f t="shared" si="64"/>
        <v>-0.1721311475409836</v>
      </c>
      <c r="AF118" s="332">
        <f t="shared" si="65"/>
        <v>-0.15126050420168066</v>
      </c>
      <c r="AG118" s="337">
        <f t="shared" si="66"/>
        <v>2.0202020202020204E-2</v>
      </c>
      <c r="AH118" s="60">
        <f t="shared" si="67"/>
        <v>347.33333333333331</v>
      </c>
    </row>
    <row r="119" spans="1:40" ht="12.75" thickTop="1" thickBot="1" x14ac:dyDescent="0.25">
      <c r="AE119" s="29"/>
    </row>
    <row r="120" spans="1:40" ht="15" customHeight="1" thickTop="1" thickBot="1" x14ac:dyDescent="0.25">
      <c r="A120" s="253" t="s">
        <v>116</v>
      </c>
      <c r="B120" s="254">
        <f>+B118+B72</f>
        <v>1229</v>
      </c>
      <c r="C120" s="254">
        <f t="shared" ref="C120:AD120" si="72">+C118+C72</f>
        <v>1297</v>
      </c>
      <c r="D120" s="254">
        <f t="shared" si="72"/>
        <v>1359</v>
      </c>
      <c r="E120" s="254">
        <f t="shared" si="72"/>
        <v>1423</v>
      </c>
      <c r="F120" s="254">
        <f t="shared" si="72"/>
        <v>1347</v>
      </c>
      <c r="G120" s="254">
        <f t="shared" si="72"/>
        <v>1198</v>
      </c>
      <c r="H120" s="254">
        <f t="shared" si="72"/>
        <v>1421</v>
      </c>
      <c r="I120" s="254">
        <f t="shared" si="72"/>
        <v>1438</v>
      </c>
      <c r="J120" s="254">
        <f t="shared" si="72"/>
        <v>1558</v>
      </c>
      <c r="K120" s="254">
        <f t="shared" si="72"/>
        <v>1508</v>
      </c>
      <c r="L120" s="254">
        <f t="shared" si="72"/>
        <v>1503</v>
      </c>
      <c r="M120" s="254">
        <f t="shared" si="72"/>
        <v>1610</v>
      </c>
      <c r="N120" s="254">
        <f t="shared" si="72"/>
        <v>1609</v>
      </c>
      <c r="O120" s="422">
        <f t="shared" si="72"/>
        <v>1775</v>
      </c>
      <c r="P120" s="422">
        <f t="shared" si="72"/>
        <v>1825</v>
      </c>
      <c r="Q120" s="482">
        <f t="shared" si="72"/>
        <v>1881</v>
      </c>
      <c r="R120" s="482">
        <f t="shared" si="72"/>
        <v>1942</v>
      </c>
      <c r="S120" s="482">
        <f t="shared" si="72"/>
        <v>2040</v>
      </c>
      <c r="T120" s="482">
        <f t="shared" si="72"/>
        <v>2169</v>
      </c>
      <c r="U120" s="301">
        <f t="shared" si="72"/>
        <v>2170</v>
      </c>
      <c r="V120" s="254">
        <f t="shared" si="72"/>
        <v>2213</v>
      </c>
      <c r="W120" s="254">
        <f t="shared" si="72"/>
        <v>2239</v>
      </c>
      <c r="X120" s="254">
        <f t="shared" si="72"/>
        <v>2340</v>
      </c>
      <c r="Y120" s="254">
        <f t="shared" si="72"/>
        <v>2229</v>
      </c>
      <c r="Z120" s="254">
        <f t="shared" si="72"/>
        <v>2146</v>
      </c>
      <c r="AA120" s="254">
        <f t="shared" si="72"/>
        <v>2258</v>
      </c>
      <c r="AB120" s="254">
        <f>+AB118+AB72</f>
        <v>2215</v>
      </c>
      <c r="AC120" s="254">
        <f t="shared" ref="AC120" si="73">+AC118+AC72</f>
        <v>2030</v>
      </c>
      <c r="AD120" s="266">
        <f t="shared" si="72"/>
        <v>1908</v>
      </c>
      <c r="AE120" s="369">
        <f t="shared" ref="AE120" si="74">IF(AD120=0," ",IF(AH120&gt;20,(AD120-AC120)/AC120," "))</f>
        <v>-6.0098522167487685E-2</v>
      </c>
      <c r="AF120" s="333">
        <f t="shared" ref="AF120" si="75">IF(AD120=0," ",IF(AH120&gt;20,(AD120-Y120)/Y120," "))</f>
        <v>-0.14401076716016151</v>
      </c>
      <c r="AG120" s="370">
        <f t="shared" ref="AG120" si="76">IF(AD120=0," ",(IF(AH120&gt;20,(AD120-T120)/T120," ")))</f>
        <v>-0.12033195020746888</v>
      </c>
      <c r="AH120" s="372">
        <f t="shared" ref="AH120" si="77">IF(AB120&gt;0,AVERAGE(AB120:AD120),"  ")</f>
        <v>2051</v>
      </c>
      <c r="AI120" s="255"/>
      <c r="AJ120"/>
      <c r="AK120"/>
      <c r="AL120"/>
      <c r="AM120"/>
      <c r="AN120"/>
    </row>
    <row r="121" spans="1:40" ht="15" customHeight="1" thickTop="1" x14ac:dyDescent="0.2">
      <c r="AI121" s="255"/>
      <c r="AJ121"/>
      <c r="AK121"/>
      <c r="AL121"/>
      <c r="AM121"/>
      <c r="AN121"/>
    </row>
    <row r="122" spans="1:40" ht="12" thickBot="1" x14ac:dyDescent="0.25"/>
    <row r="123" spans="1:40" ht="12.75" thickTop="1" x14ac:dyDescent="0.2">
      <c r="A123" s="425" t="s">
        <v>130</v>
      </c>
      <c r="B123" s="426"/>
      <c r="C123" s="426"/>
      <c r="D123" s="427"/>
      <c r="E123" s="427"/>
      <c r="F123" s="426"/>
      <c r="G123" s="426"/>
      <c r="H123" s="428"/>
      <c r="I123" s="428"/>
      <c r="J123" s="428"/>
      <c r="K123" s="428"/>
      <c r="L123" s="429"/>
      <c r="M123" s="428"/>
      <c r="N123" s="428"/>
      <c r="O123" s="430"/>
      <c r="P123" s="430"/>
      <c r="Q123" s="430"/>
      <c r="R123" s="430"/>
      <c r="S123" s="430"/>
      <c r="T123" s="430"/>
      <c r="U123" s="430"/>
      <c r="V123" s="430"/>
      <c r="W123" s="430"/>
      <c r="X123" s="430"/>
      <c r="Y123" s="430"/>
      <c r="Z123" s="431"/>
      <c r="AA123" s="431"/>
      <c r="AB123" s="431"/>
      <c r="AC123" s="431"/>
      <c r="AD123" s="431"/>
      <c r="AE123" s="431"/>
      <c r="AF123" s="432"/>
      <c r="AG123" s="431"/>
      <c r="AH123" s="433"/>
    </row>
    <row r="124" spans="1:40" ht="12.75" thickBot="1" x14ac:dyDescent="0.25">
      <c r="A124" s="441" t="s">
        <v>131</v>
      </c>
      <c r="B124" s="434"/>
      <c r="C124" s="434"/>
      <c r="D124" s="434"/>
      <c r="E124" s="434"/>
      <c r="F124" s="434"/>
      <c r="G124" s="434"/>
      <c r="H124" s="434"/>
      <c r="I124" s="434"/>
      <c r="J124" s="434"/>
      <c r="K124" s="434"/>
      <c r="L124" s="434"/>
      <c r="M124" s="434"/>
      <c r="N124" s="434"/>
      <c r="O124" s="435"/>
      <c r="P124" s="435"/>
      <c r="Q124" s="483"/>
      <c r="R124" s="483">
        <v>0</v>
      </c>
      <c r="S124" s="483"/>
      <c r="T124" s="483"/>
      <c r="U124" s="436"/>
      <c r="V124" s="434"/>
      <c r="W124" s="434"/>
      <c r="X124" s="434"/>
      <c r="Y124" s="434">
        <v>1</v>
      </c>
      <c r="Z124" s="434">
        <v>9</v>
      </c>
      <c r="AA124" s="434">
        <v>4</v>
      </c>
      <c r="AB124" s="434">
        <v>17</v>
      </c>
      <c r="AC124" s="434">
        <v>10</v>
      </c>
      <c r="AD124" s="437">
        <v>14</v>
      </c>
      <c r="AE124" s="438" t="str">
        <f t="shared" ref="AE124" si="78">IF(AD124=0," ",IF(AH124&gt;20,(AD124-AC124)/AC124," "))</f>
        <v xml:space="preserve"> </v>
      </c>
      <c r="AF124" s="439" t="str">
        <f t="shared" ref="AF124" si="79">IF(AD124=0," ",IF(AH124&gt;20,(AD124-Y124)/Y124," "))</f>
        <v xml:space="preserve"> </v>
      </c>
      <c r="AG124" s="438" t="str">
        <f t="shared" ref="AG124" si="80">IF(AD124=0," ",(IF(AH124&gt;20,(AD124-T124)/T124," ")))</f>
        <v xml:space="preserve"> </v>
      </c>
      <c r="AH124" s="440">
        <f t="shared" ref="AH124" si="81">IF(AB124&gt;0,AVERAGE(AB124:AD124),"  ")</f>
        <v>13.666666666666666</v>
      </c>
    </row>
    <row r="125" spans="1:40" ht="12.75" thickTop="1" x14ac:dyDescent="0.2">
      <c r="T125" s="23"/>
      <c r="U125" s="23"/>
      <c r="V125" s="23"/>
      <c r="W125" s="23"/>
      <c r="X125" s="23"/>
      <c r="Y125" s="2"/>
      <c r="Z125" s="442"/>
      <c r="AA125" s="442"/>
      <c r="AB125" s="442"/>
      <c r="AC125" s="442"/>
      <c r="AD125" s="442"/>
      <c r="AE125" s="19"/>
      <c r="AF125" s="19"/>
      <c r="AG125" s="20"/>
    </row>
    <row r="126" spans="1:40" ht="12.75" thickBot="1" x14ac:dyDescent="0.25">
      <c r="T126" s="23"/>
      <c r="U126" s="23"/>
      <c r="V126" s="23"/>
      <c r="W126" s="23"/>
      <c r="X126" s="23"/>
      <c r="Y126" s="2"/>
      <c r="Z126" s="2"/>
      <c r="AA126" s="2"/>
      <c r="AB126" s="2"/>
      <c r="AC126" s="2"/>
      <c r="AD126" s="2"/>
      <c r="AE126" s="19"/>
      <c r="AF126" s="19"/>
      <c r="AG126" s="20"/>
    </row>
    <row r="127" spans="1:40" ht="11.25" customHeight="1" x14ac:dyDescent="0.2">
      <c r="P127" s="484"/>
      <c r="Q127" s="485"/>
      <c r="R127" s="485"/>
      <c r="T127" s="173"/>
      <c r="Y127" s="571" t="s">
        <v>157</v>
      </c>
      <c r="Z127" s="572"/>
      <c r="AA127" s="572"/>
      <c r="AB127" s="572"/>
      <c r="AC127" s="572"/>
      <c r="AD127" s="572"/>
      <c r="AE127" s="572"/>
      <c r="AF127" s="573"/>
      <c r="AG127" s="562" t="s">
        <v>65</v>
      </c>
      <c r="AH127" s="564"/>
      <c r="AJ127"/>
      <c r="AK127"/>
      <c r="AL127"/>
      <c r="AM127"/>
      <c r="AN127"/>
    </row>
    <row r="128" spans="1:40" x14ac:dyDescent="0.2">
      <c r="P128" s="484"/>
      <c r="Q128" s="485"/>
      <c r="R128" s="485"/>
      <c r="Y128" s="559" t="s">
        <v>64</v>
      </c>
      <c r="Z128" s="560"/>
      <c r="AA128" s="561"/>
      <c r="AB128" s="592" t="s">
        <v>154</v>
      </c>
      <c r="AC128" s="593"/>
      <c r="AD128" s="593"/>
      <c r="AE128" s="593"/>
      <c r="AF128" s="594"/>
      <c r="AG128" s="565"/>
      <c r="AH128" s="567"/>
      <c r="AJ128"/>
      <c r="AK128"/>
      <c r="AL128"/>
      <c r="AM128"/>
      <c r="AN128"/>
    </row>
    <row r="129" spans="16:40" x14ac:dyDescent="0.2">
      <c r="P129" s="484"/>
      <c r="Q129" s="485"/>
      <c r="R129" s="485"/>
      <c r="Y129" s="498" t="s">
        <v>28</v>
      </c>
      <c r="Z129" s="519"/>
      <c r="AA129" s="520"/>
      <c r="AB129" s="492" t="s">
        <v>59</v>
      </c>
      <c r="AC129" s="493"/>
      <c r="AD129" s="493" t="s">
        <v>2</v>
      </c>
      <c r="AE129" s="523"/>
      <c r="AF129" s="523"/>
      <c r="AG129" s="529" t="s">
        <v>140</v>
      </c>
      <c r="AH129" s="525"/>
      <c r="AJ129"/>
      <c r="AK129"/>
      <c r="AL129"/>
      <c r="AM129"/>
      <c r="AN129"/>
    </row>
    <row r="130" spans="16:40" x14ac:dyDescent="0.2">
      <c r="P130" s="484"/>
      <c r="Q130" s="485"/>
      <c r="R130" s="485"/>
      <c r="Y130" s="498" t="s">
        <v>141</v>
      </c>
      <c r="Z130" s="519"/>
      <c r="AA130" s="520"/>
      <c r="AB130" s="491" t="s">
        <v>152</v>
      </c>
      <c r="AC130" s="494"/>
      <c r="AD130" s="494"/>
      <c r="AE130" s="528"/>
      <c r="AF130" s="528"/>
      <c r="AG130" s="524" t="s">
        <v>59</v>
      </c>
      <c r="AH130" s="525"/>
      <c r="AJ130"/>
      <c r="AK130"/>
      <c r="AL130"/>
      <c r="AM130"/>
      <c r="AN130"/>
    </row>
    <row r="131" spans="16:40" ht="11.25" customHeight="1" x14ac:dyDescent="0.2">
      <c r="P131" s="484"/>
      <c r="Q131" s="485"/>
      <c r="R131" s="485"/>
      <c r="Y131" s="498" t="s">
        <v>162</v>
      </c>
      <c r="Z131" s="519"/>
      <c r="AA131" s="520"/>
      <c r="AB131" s="490" t="s">
        <v>140</v>
      </c>
      <c r="AC131" s="495"/>
      <c r="AD131" s="495"/>
      <c r="AE131" s="531"/>
      <c r="AF131" s="531"/>
      <c r="AG131" s="526" t="s">
        <v>14</v>
      </c>
      <c r="AH131" s="525"/>
      <c r="AJ131"/>
      <c r="AK131"/>
      <c r="AL131"/>
      <c r="AM131"/>
      <c r="AN131"/>
    </row>
    <row r="132" spans="16:40" x14ac:dyDescent="0.2">
      <c r="P132" s="484"/>
      <c r="Q132" s="485"/>
      <c r="R132" s="485"/>
      <c r="Y132" s="498" t="s">
        <v>30</v>
      </c>
      <c r="Z132" s="519"/>
      <c r="AA132" s="520"/>
      <c r="AB132" s="491" t="s">
        <v>32</v>
      </c>
      <c r="AC132" s="494"/>
      <c r="AD132" s="494"/>
      <c r="AE132" s="528"/>
      <c r="AF132" s="528"/>
      <c r="AG132" s="529"/>
      <c r="AH132" s="525"/>
      <c r="AJ132"/>
      <c r="AK132"/>
      <c r="AL132"/>
      <c r="AM132"/>
      <c r="AN132"/>
    </row>
    <row r="133" spans="16:40" ht="12" thickBot="1" x14ac:dyDescent="0.25">
      <c r="P133" s="484"/>
      <c r="Q133" s="485"/>
      <c r="R133" s="485"/>
      <c r="Y133" s="499" t="s">
        <v>146</v>
      </c>
      <c r="Z133" s="533"/>
      <c r="AA133" s="534"/>
      <c r="AB133" s="496" t="s">
        <v>23</v>
      </c>
      <c r="AC133" s="497"/>
      <c r="AD133" s="497"/>
      <c r="AE133" s="537"/>
      <c r="AF133" s="537"/>
      <c r="AG133" s="538"/>
      <c r="AH133" s="539"/>
      <c r="AJ133"/>
      <c r="AK133"/>
      <c r="AL133"/>
      <c r="AM133"/>
      <c r="AN133"/>
    </row>
    <row r="134" spans="16:40" x14ac:dyDescent="0.2">
      <c r="P134" s="484"/>
      <c r="Q134" s="485"/>
      <c r="R134" s="485"/>
      <c r="Y134" s="7" t="s">
        <v>36</v>
      </c>
      <c r="Z134" s="5" t="s">
        <v>120</v>
      </c>
      <c r="AA134" s="4"/>
      <c r="AB134" s="14"/>
      <c r="AC134" s="14"/>
      <c r="AD134" s="14"/>
      <c r="AE134" s="14"/>
      <c r="AF134" s="14"/>
      <c r="AG134" s="14"/>
      <c r="AH134" s="14"/>
      <c r="AI134" s="14"/>
      <c r="AM134"/>
      <c r="AN134"/>
    </row>
    <row r="135" spans="16:40" x14ac:dyDescent="0.2">
      <c r="P135" s="484"/>
      <c r="Q135" s="485"/>
      <c r="R135" s="485"/>
      <c r="Y135"/>
      <c r="Z135" s="8" t="s">
        <v>126</v>
      </c>
      <c r="AA135" s="4"/>
      <c r="AB135" s="14"/>
      <c r="AC135" s="14"/>
      <c r="AD135" s="14"/>
      <c r="AE135" s="14"/>
      <c r="AF135" s="14"/>
      <c r="AG135" s="14"/>
      <c r="AH135" s="14"/>
      <c r="AI135" s="14"/>
      <c r="AM135"/>
      <c r="AN135"/>
    </row>
    <row r="136" spans="16:40" x14ac:dyDescent="0.2">
      <c r="Y136"/>
      <c r="Z136" s="9" t="s">
        <v>38</v>
      </c>
      <c r="AA136" s="6"/>
      <c r="AB136" s="15"/>
      <c r="AC136" s="15"/>
      <c r="AD136" s="15"/>
      <c r="AE136" s="15"/>
      <c r="AF136" s="15"/>
      <c r="AG136" s="15"/>
      <c r="AH136" s="15"/>
      <c r="AI136" s="15"/>
      <c r="AM136"/>
      <c r="AN136"/>
    </row>
    <row r="137" spans="16:40" x14ac:dyDescent="0.2">
      <c r="Y137"/>
      <c r="Z137" s="10" t="s">
        <v>39</v>
      </c>
      <c r="AA137"/>
      <c r="AB137" s="16"/>
      <c r="AC137" s="16"/>
      <c r="AD137" s="16"/>
      <c r="AE137" s="16"/>
      <c r="AF137" s="16"/>
      <c r="AG137" s="16"/>
      <c r="AH137" s="16"/>
      <c r="AI137" s="16"/>
      <c r="AM137"/>
      <c r="AN137"/>
    </row>
    <row r="138" spans="16:40" x14ac:dyDescent="0.2">
      <c r="T138"/>
      <c r="U138" s="12"/>
      <c r="V138"/>
      <c r="W138" s="11"/>
      <c r="X138" s="11"/>
    </row>
    <row r="139" spans="16:40" x14ac:dyDescent="0.2">
      <c r="T139" s="373"/>
      <c r="U139" s="373"/>
      <c r="V139" s="373"/>
      <c r="W139" s="373"/>
      <c r="X139" s="373"/>
    </row>
  </sheetData>
  <sortState ref="AG129:AG132">
    <sortCondition ref="AG129:AG132"/>
  </sortState>
  <mergeCells count="19">
    <mergeCell ref="A84:AH84"/>
    <mergeCell ref="Y127:AF127"/>
    <mergeCell ref="AG127:AH128"/>
    <mergeCell ref="Y128:AA128"/>
    <mergeCell ref="AB128:AF128"/>
    <mergeCell ref="A5:AH5"/>
    <mergeCell ref="A6:AH6"/>
    <mergeCell ref="A7:AH7"/>
    <mergeCell ref="A74:AH74"/>
    <mergeCell ref="A76:A77"/>
    <mergeCell ref="AE76:AE77"/>
    <mergeCell ref="AF76:AF77"/>
    <mergeCell ref="AG76:AG77"/>
    <mergeCell ref="A1:AH1"/>
    <mergeCell ref="A3:A4"/>
    <mergeCell ref="AE3:AE4"/>
    <mergeCell ref="AF3:AF4"/>
    <mergeCell ref="AG3:AG4"/>
    <mergeCell ref="AH3:AH4"/>
  </mergeCells>
  <printOptions horizontalCentered="1"/>
  <pageMargins left="0.5" right="0.5" top="0.48" bottom="0.5" header="0.5" footer="0.25"/>
  <pageSetup scale="78" orientation="portrait" r:id="rId1"/>
  <headerFooter alignWithMargins="0">
    <oddFooter>&amp;L&amp;"Times New Roman,Regular"&amp;9Source: MHEC DIS&amp;C&amp;"Times New Roman,Regular"&amp;10C-6.0</oddFooter>
  </headerFooter>
  <rowBreaks count="1" manualBreakCount="1">
    <brk id="7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C-6</vt:lpstr>
      <vt:lpstr>UG_Program_Ranking_2023</vt:lpstr>
      <vt:lpstr>Low_Productivity_2023</vt:lpstr>
      <vt:lpstr>'C-6'!Print_Area</vt:lpstr>
      <vt:lpstr>Low_Productivity_2023!Print_Area</vt:lpstr>
      <vt:lpstr>UG_Program_Ranking_2023!Print_Area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2023-08-01T13:34:36Z</cp:lastPrinted>
  <dcterms:created xsi:type="dcterms:W3CDTF">2005-10-04T15:11:02Z</dcterms:created>
  <dcterms:modified xsi:type="dcterms:W3CDTF">2023-08-02T19:34:02Z</dcterms:modified>
</cp:coreProperties>
</file>